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Default Extension="gif" ContentType="image/gif"/>
  <Default Extension="wmf" ContentType="image/x-w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9005"/>
  <workbookPr/>
  <mc:AlternateContent xmlns:mc="http://schemas.openxmlformats.org/markup-compatibility/2006">
    <mc:Choice Requires="x15">
      <x15ac:absPath xmlns:x15ac="http://schemas.microsoft.com/office/spreadsheetml/2010/11/ac" url="/Users/masatoshi/Downloads/"/>
    </mc:Choice>
  </mc:AlternateContent>
  <bookViews>
    <workbookView xWindow="0" yWindow="460" windowWidth="13660" windowHeight="14820"/>
  </bookViews>
  <sheets>
    <sheet name="投資回収" sheetId="5" r:id="rId1"/>
    <sheet name="蓄熱シュミレーション" sheetId="1" r:id="rId2"/>
    <sheet name="HFC245fa" sheetId="7" state="hidden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1" l="1"/>
  <c r="F12" i="1"/>
  <c r="L19" i="1"/>
  <c r="D5" i="5"/>
  <c r="B5" i="5"/>
  <c r="B6" i="5"/>
  <c r="B7" i="5"/>
  <c r="B8" i="5"/>
  <c r="B9" i="5"/>
  <c r="B10" i="5"/>
  <c r="B13" i="5"/>
  <c r="F13" i="1"/>
  <c r="B43" i="1"/>
  <c r="C37" i="1"/>
  <c r="G29" i="1"/>
  <c r="G44" i="1"/>
  <c r="I44" i="1"/>
  <c r="K44" i="1"/>
  <c r="G18" i="1"/>
  <c r="G19" i="1"/>
  <c r="B16" i="5"/>
  <c r="H17" i="1"/>
  <c r="J17" i="1"/>
  <c r="G45" i="1"/>
  <c r="I45" i="1"/>
  <c r="H18" i="1"/>
  <c r="J18" i="1"/>
  <c r="J19" i="1"/>
  <c r="B18" i="5"/>
  <c r="B20" i="5"/>
  <c r="B21" i="5"/>
  <c r="D24" i="5"/>
  <c r="H9" i="1"/>
  <c r="L17" i="1"/>
  <c r="L10" i="1"/>
  <c r="G32" i="1"/>
  <c r="F14" i="1"/>
  <c r="F15" i="1"/>
  <c r="G17" i="1"/>
  <c r="N104" i="7"/>
  <c r="M104" i="7"/>
  <c r="N103" i="7"/>
  <c r="M103" i="7"/>
  <c r="N102" i="7"/>
  <c r="M102" i="7"/>
  <c r="N101" i="7"/>
  <c r="M101" i="7"/>
  <c r="N100" i="7"/>
  <c r="M100" i="7"/>
  <c r="N99" i="7"/>
  <c r="M99" i="7"/>
  <c r="N98" i="7"/>
  <c r="M98" i="7"/>
  <c r="N97" i="7"/>
  <c r="M97" i="7"/>
  <c r="N96" i="7"/>
  <c r="M96" i="7"/>
  <c r="N95" i="7"/>
  <c r="M95" i="7"/>
  <c r="N94" i="7"/>
  <c r="M94" i="7"/>
  <c r="N93" i="7"/>
  <c r="M93" i="7"/>
  <c r="N92" i="7"/>
  <c r="M92" i="7"/>
  <c r="N91" i="7"/>
  <c r="M91" i="7"/>
  <c r="N90" i="7"/>
  <c r="M90" i="7"/>
  <c r="N89" i="7"/>
  <c r="M89" i="7"/>
  <c r="N88" i="7"/>
  <c r="M88" i="7"/>
  <c r="N87" i="7"/>
  <c r="M87" i="7"/>
  <c r="N86" i="7"/>
  <c r="M86" i="7"/>
  <c r="N85" i="7"/>
  <c r="M85" i="7"/>
  <c r="N84" i="7"/>
  <c r="M84" i="7"/>
  <c r="N83" i="7"/>
  <c r="M83" i="7"/>
  <c r="N82" i="7"/>
  <c r="M82" i="7"/>
  <c r="N81" i="7"/>
  <c r="M81" i="7"/>
  <c r="N80" i="7"/>
  <c r="M80" i="7"/>
  <c r="N79" i="7"/>
  <c r="M79" i="7"/>
  <c r="N78" i="7"/>
  <c r="M78" i="7"/>
  <c r="N77" i="7"/>
  <c r="M77" i="7"/>
  <c r="N76" i="7"/>
  <c r="M76" i="7"/>
  <c r="N75" i="7"/>
  <c r="M75" i="7"/>
  <c r="N74" i="7"/>
  <c r="M74" i="7"/>
  <c r="N73" i="7"/>
  <c r="M73" i="7"/>
  <c r="N72" i="7"/>
  <c r="M72" i="7"/>
  <c r="N71" i="7"/>
  <c r="M71" i="7"/>
  <c r="N70" i="7"/>
  <c r="M70" i="7"/>
  <c r="N69" i="7"/>
  <c r="M69" i="7"/>
  <c r="N68" i="7"/>
  <c r="M68" i="7"/>
  <c r="N67" i="7"/>
  <c r="M67" i="7"/>
  <c r="N66" i="7"/>
  <c r="M66" i="7"/>
  <c r="N65" i="7"/>
  <c r="M65" i="7"/>
  <c r="N64" i="7"/>
  <c r="M64" i="7"/>
  <c r="N63" i="7"/>
  <c r="M63" i="7"/>
  <c r="N62" i="7"/>
  <c r="M62" i="7"/>
  <c r="N61" i="7"/>
  <c r="M61" i="7"/>
  <c r="N60" i="7"/>
  <c r="M60" i="7"/>
  <c r="N59" i="7"/>
  <c r="M59" i="7"/>
  <c r="N58" i="7"/>
  <c r="M58" i="7"/>
  <c r="N57" i="7"/>
  <c r="M57" i="7"/>
  <c r="N56" i="7"/>
  <c r="M56" i="7"/>
  <c r="N55" i="7"/>
  <c r="M55" i="7"/>
  <c r="N54" i="7"/>
  <c r="M54" i="7"/>
  <c r="N53" i="7"/>
  <c r="M53" i="7"/>
  <c r="N52" i="7"/>
  <c r="M52" i="7"/>
  <c r="N51" i="7"/>
  <c r="M51" i="7"/>
  <c r="N50" i="7"/>
  <c r="M50" i="7"/>
  <c r="N49" i="7"/>
  <c r="M49" i="7"/>
  <c r="N48" i="7"/>
  <c r="M48" i="7"/>
  <c r="N47" i="7"/>
  <c r="M47" i="7"/>
  <c r="N46" i="7"/>
  <c r="M46" i="7"/>
  <c r="N45" i="7"/>
  <c r="M45" i="7"/>
  <c r="N44" i="7"/>
  <c r="M44" i="7"/>
  <c r="N43" i="7"/>
  <c r="M43" i="7"/>
  <c r="N42" i="7"/>
  <c r="M42" i="7"/>
  <c r="N41" i="7"/>
  <c r="M41" i="7"/>
  <c r="N40" i="7"/>
  <c r="M40" i="7"/>
  <c r="N39" i="7"/>
  <c r="M39" i="7"/>
  <c r="N38" i="7"/>
  <c r="M38" i="7"/>
  <c r="N37" i="7"/>
  <c r="M37" i="7"/>
  <c r="N36" i="7"/>
  <c r="M36" i="7"/>
  <c r="N35" i="7"/>
  <c r="M35" i="7"/>
  <c r="N34" i="7"/>
  <c r="M34" i="7"/>
  <c r="N33" i="7"/>
  <c r="M33" i="7"/>
  <c r="N32" i="7"/>
  <c r="M32" i="7"/>
  <c r="N31" i="7"/>
  <c r="M31" i="7"/>
  <c r="N30" i="7"/>
  <c r="M30" i="7"/>
  <c r="N29" i="7"/>
  <c r="M29" i="7"/>
  <c r="N28" i="7"/>
  <c r="M28" i="7"/>
  <c r="N27" i="7"/>
  <c r="M27" i="7"/>
  <c r="N26" i="7"/>
  <c r="M26" i="7"/>
  <c r="N25" i="7"/>
  <c r="M25" i="7"/>
  <c r="N24" i="7"/>
  <c r="M24" i="7"/>
  <c r="N23" i="7"/>
  <c r="M23" i="7"/>
  <c r="N22" i="7"/>
  <c r="M22" i="7"/>
  <c r="N21" i="7"/>
  <c r="M21" i="7"/>
  <c r="N20" i="7"/>
  <c r="M20" i="7"/>
  <c r="N19" i="7"/>
  <c r="M19" i="7"/>
  <c r="N18" i="7"/>
  <c r="M18" i="7"/>
  <c r="N17" i="7"/>
  <c r="M17" i="7"/>
  <c r="N16" i="7"/>
  <c r="M16" i="7"/>
  <c r="N15" i="7"/>
  <c r="M15" i="7"/>
  <c r="N14" i="7"/>
  <c r="M14" i="7"/>
  <c r="N13" i="7"/>
  <c r="M13" i="7"/>
  <c r="N12" i="7"/>
  <c r="M12" i="7"/>
  <c r="N11" i="7"/>
  <c r="M11" i="7"/>
  <c r="N10" i="7"/>
  <c r="M10" i="7"/>
  <c r="N9" i="7"/>
  <c r="M9" i="7"/>
  <c r="N8" i="7"/>
  <c r="M8" i="7"/>
  <c r="N7" i="7"/>
  <c r="M7" i="7"/>
  <c r="N6" i="7"/>
  <c r="M6" i="7"/>
  <c r="N5" i="7"/>
  <c r="M5" i="7"/>
  <c r="N4" i="7"/>
  <c r="M4" i="7"/>
  <c r="B44" i="1"/>
  <c r="D6" i="5"/>
  <c r="K38" i="1"/>
  <c r="H12" i="1"/>
  <c r="G28" i="1"/>
  <c r="B45" i="1"/>
  <c r="K40" i="1"/>
  <c r="H19" i="1"/>
  <c r="E24" i="5"/>
  <c r="F24" i="5"/>
  <c r="G24" i="5"/>
  <c r="H24" i="5"/>
  <c r="D26" i="5"/>
  <c r="E26" i="5"/>
  <c r="F26" i="5"/>
  <c r="G26" i="5"/>
  <c r="H26" i="5"/>
  <c r="I26" i="5"/>
  <c r="B29" i="5"/>
</calcChain>
</file>

<file path=xl/sharedStrings.xml><?xml version="1.0" encoding="utf-8"?>
<sst xmlns="http://schemas.openxmlformats.org/spreadsheetml/2006/main" count="150" uniqueCount="125">
  <si>
    <t>温度</t>
    <rPh sb="0" eb="2">
      <t>オンド</t>
    </rPh>
    <phoneticPr fontId="1"/>
  </si>
  <si>
    <t>流量</t>
    <rPh sb="0" eb="2">
      <t>リュウリョウ</t>
    </rPh>
    <phoneticPr fontId="1"/>
  </si>
  <si>
    <t>℃</t>
    <phoneticPr fontId="1"/>
  </si>
  <si>
    <t>㎥</t>
    <phoneticPr fontId="1"/>
  </si>
  <si>
    <t>蓄熱タンク容積</t>
    <rPh sb="0" eb="2">
      <t>チクネツ</t>
    </rPh>
    <rPh sb="5" eb="7">
      <t>ヨウセキ</t>
    </rPh>
    <phoneticPr fontId="1"/>
  </si>
  <si>
    <t>ℓ/s</t>
    <phoneticPr fontId="1"/>
  </si>
  <si>
    <t>ℓ/s</t>
    <phoneticPr fontId="1"/>
  </si>
  <si>
    <t>水温</t>
    <rPh sb="0" eb="2">
      <t>スイオン</t>
    </rPh>
    <phoneticPr fontId="1"/>
  </si>
  <si>
    <t>環境条件</t>
    <rPh sb="0" eb="2">
      <t>カンキョウ</t>
    </rPh>
    <rPh sb="2" eb="4">
      <t>ジョウケン</t>
    </rPh>
    <phoneticPr fontId="1"/>
  </si>
  <si>
    <t>気温</t>
    <rPh sb="0" eb="1">
      <t>キ</t>
    </rPh>
    <phoneticPr fontId="1"/>
  </si>
  <si>
    <t>熱源流量</t>
    <rPh sb="0" eb="2">
      <t>ネツゲン</t>
    </rPh>
    <rPh sb="2" eb="4">
      <t>リュウリョウ</t>
    </rPh>
    <phoneticPr fontId="1"/>
  </si>
  <si>
    <t>冷却水流量</t>
    <rPh sb="0" eb="3">
      <t>レイキャクスイ</t>
    </rPh>
    <rPh sb="3" eb="5">
      <t>リュウリョウ</t>
    </rPh>
    <phoneticPr fontId="1"/>
  </si>
  <si>
    <t>ｈ</t>
    <phoneticPr fontId="1"/>
  </si>
  <si>
    <t>発電能力</t>
    <rPh sb="0" eb="2">
      <t>ハツデン</t>
    </rPh>
    <rPh sb="2" eb="4">
      <t>ノウリョク</t>
    </rPh>
    <phoneticPr fontId="1"/>
  </si>
  <si>
    <t>時間</t>
    <rPh sb="0" eb="2">
      <t>ジカン</t>
    </rPh>
    <phoneticPr fontId="1"/>
  </si>
  <si>
    <t>ｋＷ</t>
    <phoneticPr fontId="1"/>
  </si>
  <si>
    <t>入力温度差</t>
    <rPh sb="0" eb="2">
      <t>ニュウリョク</t>
    </rPh>
    <rPh sb="2" eb="4">
      <t>オンド</t>
    </rPh>
    <rPh sb="4" eb="5">
      <t>サ</t>
    </rPh>
    <phoneticPr fontId="1"/>
  </si>
  <si>
    <t>循環流量</t>
    <rPh sb="0" eb="2">
      <t>ジュンカン</t>
    </rPh>
    <rPh sb="2" eb="4">
      <t>リュウリョウ</t>
    </rPh>
    <phoneticPr fontId="1"/>
  </si>
  <si>
    <t>㎥/h</t>
    <phoneticPr fontId="1"/>
  </si>
  <si>
    <t>消費熱量</t>
    <rPh sb="0" eb="2">
      <t>ショウヒ</t>
    </rPh>
    <rPh sb="2" eb="3">
      <t>ネツ</t>
    </rPh>
    <rPh sb="3" eb="4">
      <t>リョウ</t>
    </rPh>
    <phoneticPr fontId="1"/>
  </si>
  <si>
    <t>温度低下</t>
    <rPh sb="0" eb="2">
      <t>オンド</t>
    </rPh>
    <rPh sb="2" eb="4">
      <t>テイカ</t>
    </rPh>
    <phoneticPr fontId="1"/>
  </si>
  <si>
    <t>℃/h</t>
    <phoneticPr fontId="1"/>
  </si>
  <si>
    <t>入力下限</t>
    <rPh sb="0" eb="2">
      <t>ニュウリョク</t>
    </rPh>
    <rPh sb="2" eb="4">
      <t>カゲン</t>
    </rPh>
    <phoneticPr fontId="1"/>
  </si>
  <si>
    <t>ｋＷｈ平均</t>
    <rPh sb="3" eb="5">
      <t>ヘイキン</t>
    </rPh>
    <phoneticPr fontId="1"/>
  </si>
  <si>
    <t>kW</t>
    <phoneticPr fontId="1"/>
  </si>
  <si>
    <t>合計</t>
    <rPh sb="0" eb="2">
      <t>ゴウケイ</t>
    </rPh>
    <phoneticPr fontId="1"/>
  </si>
  <si>
    <t>冷却水温度</t>
    <rPh sb="0" eb="3">
      <t>レイキャクスイ</t>
    </rPh>
    <rPh sb="3" eb="5">
      <t>オンド</t>
    </rPh>
    <phoneticPr fontId="1"/>
  </si>
  <si>
    <t>℃</t>
    <phoneticPr fontId="1"/>
  </si>
  <si>
    <t>排出時間</t>
    <rPh sb="0" eb="2">
      <t>ハイシュツ</t>
    </rPh>
    <rPh sb="2" eb="4">
      <t>ジカン</t>
    </rPh>
    <phoneticPr fontId="1"/>
  </si>
  <si>
    <t>熱量</t>
    <rPh sb="0" eb="2">
      <t>ネツリョウ</t>
    </rPh>
    <phoneticPr fontId="1"/>
  </si>
  <si>
    <t>kW</t>
    <phoneticPr fontId="1"/>
  </si>
  <si>
    <t>℃</t>
    <phoneticPr fontId="1"/>
  </si>
  <si>
    <t>湯量</t>
    <rPh sb="0" eb="2">
      <t>ユリョウ</t>
    </rPh>
    <phoneticPr fontId="1"/>
  </si>
  <si>
    <t>蒸気排出時</t>
    <rPh sb="0" eb="2">
      <t>ジョウキ</t>
    </rPh>
    <rPh sb="2" eb="4">
      <t>ハイシュツ</t>
    </rPh>
    <rPh sb="4" eb="5">
      <t>ジ</t>
    </rPh>
    <phoneticPr fontId="1"/>
  </si>
  <si>
    <t>ロータリー熱エンジン投資回収シュミレーション</t>
    <rPh sb="5" eb="6">
      <t>ネツ</t>
    </rPh>
    <rPh sb="10" eb="12">
      <t>トウシ</t>
    </rPh>
    <rPh sb="12" eb="14">
      <t>カイシュウ</t>
    </rPh>
    <phoneticPr fontId="4"/>
  </si>
  <si>
    <t>品目</t>
    <rPh sb="0" eb="2">
      <t>ヒンモク</t>
    </rPh>
    <phoneticPr fontId="4"/>
  </si>
  <si>
    <t>＊水色のセルが入力可能です。</t>
    <rPh sb="1" eb="3">
      <t>ミズイロ</t>
    </rPh>
    <rPh sb="7" eb="9">
      <t>ニュウリョク</t>
    </rPh>
    <rPh sb="9" eb="11">
      <t>カノウ</t>
    </rPh>
    <phoneticPr fontId="4"/>
  </si>
  <si>
    <t>初期費用</t>
    <rPh sb="0" eb="2">
      <t>ショキ</t>
    </rPh>
    <rPh sb="2" eb="4">
      <t>ヒヨウ</t>
    </rPh>
    <phoneticPr fontId="4"/>
  </si>
  <si>
    <t>設置費用</t>
    <rPh sb="0" eb="2">
      <t>セッチ</t>
    </rPh>
    <rPh sb="2" eb="4">
      <t>ヒヨウ</t>
    </rPh>
    <phoneticPr fontId="4"/>
  </si>
  <si>
    <t>その他費用</t>
    <rPh sb="2" eb="3">
      <t>タ</t>
    </rPh>
    <rPh sb="3" eb="5">
      <t>ヒヨウ</t>
    </rPh>
    <phoneticPr fontId="4"/>
  </si>
  <si>
    <t>小計</t>
    <rPh sb="0" eb="2">
      <t>ショウケイ</t>
    </rPh>
    <phoneticPr fontId="4"/>
  </si>
  <si>
    <t>国等の補助金</t>
    <rPh sb="0" eb="2">
      <t>クニトウ</t>
    </rPh>
    <rPh sb="3" eb="6">
      <t>ホジョキン</t>
    </rPh>
    <phoneticPr fontId="4"/>
  </si>
  <si>
    <t>％（補助率）</t>
    <phoneticPr fontId="4"/>
  </si>
  <si>
    <t>合計</t>
    <rPh sb="0" eb="2">
      <t>ゴウケイ</t>
    </rPh>
    <phoneticPr fontId="4"/>
  </si>
  <si>
    <t>維持費用</t>
    <rPh sb="0" eb="2">
      <t>イジ</t>
    </rPh>
    <rPh sb="2" eb="4">
      <t>ヒヨウ</t>
    </rPh>
    <phoneticPr fontId="4"/>
  </si>
  <si>
    <t>メンテナンス費用（年単位）</t>
    <rPh sb="6" eb="8">
      <t>ヒヨウ</t>
    </rPh>
    <rPh sb="9" eb="12">
      <t>ネンタンイ</t>
    </rPh>
    <phoneticPr fontId="4"/>
  </si>
  <si>
    <t>稼動条件</t>
    <rPh sb="0" eb="2">
      <t>カドウ</t>
    </rPh>
    <rPh sb="2" eb="4">
      <t>ジョウケン</t>
    </rPh>
    <phoneticPr fontId="4"/>
  </si>
  <si>
    <t>稼働時間（１日）</t>
    <rPh sb="0" eb="2">
      <t>カドウ</t>
    </rPh>
    <rPh sb="2" eb="4">
      <t>ジカン</t>
    </rPh>
    <rPh sb="6" eb="7">
      <t>ニチ</t>
    </rPh>
    <phoneticPr fontId="4"/>
  </si>
  <si>
    <t>＊蓄熱等による24時間稼働も構成可能</t>
    <rPh sb="1" eb="3">
      <t>チクネツ</t>
    </rPh>
    <rPh sb="3" eb="4">
      <t>トウ</t>
    </rPh>
    <rPh sb="9" eb="11">
      <t>ジカン</t>
    </rPh>
    <rPh sb="11" eb="13">
      <t>カドウ</t>
    </rPh>
    <rPh sb="14" eb="16">
      <t>コウセイ</t>
    </rPh>
    <rPh sb="16" eb="18">
      <t>カノウ</t>
    </rPh>
    <phoneticPr fontId="4"/>
  </si>
  <si>
    <t>稼働日数（年）</t>
    <rPh sb="0" eb="2">
      <t>カドウ</t>
    </rPh>
    <rPh sb="2" eb="4">
      <t>ニッスウ</t>
    </rPh>
    <rPh sb="5" eb="6">
      <t>ネン</t>
    </rPh>
    <phoneticPr fontId="4"/>
  </si>
  <si>
    <t>電力単価</t>
    <rPh sb="0" eb="2">
      <t>デンリョク</t>
    </rPh>
    <rPh sb="2" eb="4">
      <t>タンカ</t>
    </rPh>
    <phoneticPr fontId="4"/>
  </si>
  <si>
    <t>生産電力合計（年）</t>
    <rPh sb="0" eb="2">
      <t>セイサン</t>
    </rPh>
    <rPh sb="2" eb="4">
      <t>デンリョク</t>
    </rPh>
    <rPh sb="4" eb="6">
      <t>ゴウケイ</t>
    </rPh>
    <rPh sb="7" eb="8">
      <t>ネン</t>
    </rPh>
    <phoneticPr fontId="4"/>
  </si>
  <si>
    <t>電力価格換算合計（年）</t>
    <rPh sb="0" eb="2">
      <t>デンリョク</t>
    </rPh>
    <rPh sb="2" eb="4">
      <t>カカク</t>
    </rPh>
    <rPh sb="4" eb="6">
      <t>カンサン</t>
    </rPh>
    <rPh sb="6" eb="8">
      <t>ゴウケイ</t>
    </rPh>
    <rPh sb="9" eb="10">
      <t>ネン</t>
    </rPh>
    <phoneticPr fontId="4"/>
  </si>
  <si>
    <t>円</t>
    <rPh sb="0" eb="1">
      <t>エン</t>
    </rPh>
    <phoneticPr fontId="4"/>
  </si>
  <si>
    <t>投資回収期間</t>
    <rPh sb="0" eb="2">
      <t>トウシ</t>
    </rPh>
    <rPh sb="2" eb="4">
      <t>カイシュウ</t>
    </rPh>
    <rPh sb="4" eb="6">
      <t>キカン</t>
    </rPh>
    <phoneticPr fontId="4"/>
  </si>
  <si>
    <t>年</t>
    <rPh sb="0" eb="1">
      <t>ネン</t>
    </rPh>
    <phoneticPr fontId="4"/>
  </si>
  <si>
    <t>１年目</t>
    <rPh sb="1" eb="3">
      <t>ネンメ</t>
    </rPh>
    <phoneticPr fontId="4"/>
  </si>
  <si>
    <t>２年目</t>
    <rPh sb="1" eb="3">
      <t>ネンメ</t>
    </rPh>
    <phoneticPr fontId="4"/>
  </si>
  <si>
    <t>３年目</t>
    <rPh sb="1" eb="3">
      <t>ネンメ</t>
    </rPh>
    <phoneticPr fontId="4"/>
  </si>
  <si>
    <t>４年目</t>
    <rPh sb="1" eb="3">
      <t>ネンメ</t>
    </rPh>
    <phoneticPr fontId="4"/>
  </si>
  <si>
    <t>５年目</t>
    <rPh sb="1" eb="3">
      <t>ネンメ</t>
    </rPh>
    <phoneticPr fontId="4"/>
  </si>
  <si>
    <t>６年目</t>
    <rPh sb="1" eb="3">
      <t>ネンメ</t>
    </rPh>
    <phoneticPr fontId="4"/>
  </si>
  <si>
    <t>７年目</t>
    <rPh sb="1" eb="3">
      <t>ネンメ</t>
    </rPh>
    <phoneticPr fontId="4"/>
  </si>
  <si>
    <t>設備投資回収後電力単価（ｋＷｈ）</t>
    <rPh sb="0" eb="2">
      <t>セツビ</t>
    </rPh>
    <rPh sb="2" eb="4">
      <t>トウシ</t>
    </rPh>
    <rPh sb="4" eb="6">
      <t>カイシュウ</t>
    </rPh>
    <rPh sb="6" eb="7">
      <t>ゴ</t>
    </rPh>
    <rPh sb="7" eb="9">
      <t>デンリョク</t>
    </rPh>
    <rPh sb="9" eb="11">
      <t>タンカ</t>
    </rPh>
    <phoneticPr fontId="4"/>
  </si>
  <si>
    <t>ｋＷｈ平均</t>
    <phoneticPr fontId="1"/>
  </si>
  <si>
    <t>8年目</t>
    <rPh sb="1" eb="3">
      <t>ネンメ</t>
    </rPh>
    <phoneticPr fontId="1"/>
  </si>
  <si>
    <t>９年目</t>
    <rPh sb="1" eb="3">
      <t>ネンメ</t>
    </rPh>
    <phoneticPr fontId="1"/>
  </si>
  <si>
    <t>回収残</t>
    <rPh sb="0" eb="2">
      <t>カイシュウ</t>
    </rPh>
    <rPh sb="2" eb="3">
      <t>ザン</t>
    </rPh>
    <phoneticPr fontId="1"/>
  </si>
  <si>
    <t>１０年目</t>
    <rPh sb="2" eb="4">
      <t>ネンメ</t>
    </rPh>
    <phoneticPr fontId="1"/>
  </si>
  <si>
    <t>排湯温度</t>
    <rPh sb="0" eb="1">
      <t>ハイ</t>
    </rPh>
    <rPh sb="1" eb="2">
      <t>トウ</t>
    </rPh>
    <rPh sb="2" eb="4">
      <t>オンド</t>
    </rPh>
    <phoneticPr fontId="1"/>
  </si>
  <si>
    <t>排湯総量</t>
    <rPh sb="0" eb="1">
      <t>ハイ</t>
    </rPh>
    <rPh sb="1" eb="2">
      <t>トウ</t>
    </rPh>
    <rPh sb="2" eb="4">
      <t>ソウリョウ</t>
    </rPh>
    <phoneticPr fontId="1"/>
  </si>
  <si>
    <t>kcal/s</t>
    <phoneticPr fontId="1"/>
  </si>
  <si>
    <t>kWh</t>
    <phoneticPr fontId="4"/>
  </si>
  <si>
    <t>kWh</t>
    <phoneticPr fontId="1"/>
  </si>
  <si>
    <t>Day</t>
    <phoneticPr fontId="1"/>
  </si>
  <si>
    <t>Hour</t>
    <phoneticPr fontId="1"/>
  </si>
  <si>
    <t>kWh</t>
    <phoneticPr fontId="1"/>
  </si>
  <si>
    <t>生産電力（１時間当たり）</t>
    <rPh sb="0" eb="2">
      <t>セイサン</t>
    </rPh>
    <rPh sb="2" eb="4">
      <t>デンリョク</t>
    </rPh>
    <rPh sb="6" eb="8">
      <t>ジカン</t>
    </rPh>
    <rPh sb="8" eb="9">
      <t>ア</t>
    </rPh>
    <phoneticPr fontId="4"/>
  </si>
  <si>
    <t>導入台数</t>
    <rPh sb="0" eb="2">
      <t>ドウニュウ</t>
    </rPh>
    <rPh sb="2" eb="4">
      <t>ダイスウ</t>
    </rPh>
    <phoneticPr fontId="1"/>
  </si>
  <si>
    <t>Ｔｅｍｐ</t>
    <phoneticPr fontId="1"/>
  </si>
  <si>
    <t>Pressure</t>
    <phoneticPr fontId="1"/>
  </si>
  <si>
    <t>Volume</t>
    <phoneticPr fontId="1"/>
  </si>
  <si>
    <t>Density</t>
    <phoneticPr fontId="1"/>
  </si>
  <si>
    <t>Enthalpy
(kJ/kg)</t>
    <phoneticPr fontId="1"/>
  </si>
  <si>
    <t>Entropy
(kJ/kg)</t>
    <phoneticPr fontId="1"/>
  </si>
  <si>
    <t xml:space="preserve"> CP</t>
    <phoneticPr fontId="1"/>
  </si>
  <si>
    <t>CV</t>
    <phoneticPr fontId="1"/>
  </si>
  <si>
    <t>CV/CP</t>
    <phoneticPr fontId="1"/>
  </si>
  <si>
    <t>(℃)</t>
    <phoneticPr fontId="1"/>
  </si>
  <si>
    <t>(kPa)</t>
    <phoneticPr fontId="1"/>
  </si>
  <si>
    <t>(㎥/kg)</t>
    <phoneticPr fontId="1"/>
  </si>
  <si>
    <t>(kg/㎥)</t>
    <phoneticPr fontId="1"/>
  </si>
  <si>
    <t>( kJ/kg-C )</t>
  </si>
  <si>
    <t>%</t>
    <phoneticPr fontId="1"/>
  </si>
  <si>
    <t>Vapor</t>
    <phoneticPr fontId="1"/>
  </si>
  <si>
    <t>Liquid</t>
    <phoneticPr fontId="1"/>
  </si>
  <si>
    <t>kPa</t>
    <phoneticPr fontId="1"/>
  </si>
  <si>
    <t>ロータリー熱エンジン１0ｋＷ</t>
    <rPh sb="5" eb="6">
      <t>ネツ</t>
    </rPh>
    <phoneticPr fontId="4"/>
  </si>
  <si>
    <t>⊿T</t>
    <phoneticPr fontId="1"/>
  </si>
  <si>
    <t>蒸発器</t>
    <rPh sb="0" eb="3">
      <t>ジョウハツキ</t>
    </rPh>
    <phoneticPr fontId="1"/>
  </si>
  <si>
    <t>⊿T</t>
    <phoneticPr fontId="1"/>
  </si>
  <si>
    <t>システム台数</t>
    <rPh sb="4" eb="5">
      <t>ダイ</t>
    </rPh>
    <rPh sb="5" eb="6">
      <t>スウ</t>
    </rPh>
    <phoneticPr fontId="1"/>
  </si>
  <si>
    <t>標準価格</t>
    <rPh sb="0" eb="2">
      <t>ヒョウジュン</t>
    </rPh>
    <rPh sb="2" eb="4">
      <t>カカク</t>
    </rPh>
    <phoneticPr fontId="1"/>
  </si>
  <si>
    <t>エンジン</t>
    <phoneticPr fontId="1"/>
  </si>
  <si>
    <t>温泉</t>
    <rPh sb="0" eb="2">
      <t>オンセン</t>
    </rPh>
    <phoneticPr fontId="1"/>
  </si>
  <si>
    <t>凝縮器</t>
    <rPh sb="0" eb="3">
      <t>ギョウシュクキ</t>
    </rPh>
    <phoneticPr fontId="1"/>
  </si>
  <si>
    <t>kPa</t>
    <phoneticPr fontId="1"/>
  </si>
  <si>
    <t>℃</t>
    <phoneticPr fontId="1"/>
  </si>
  <si>
    <t>㎥/Day</t>
    <phoneticPr fontId="1"/>
  </si>
  <si>
    <t>㎥/Hour</t>
    <phoneticPr fontId="1"/>
  </si>
  <si>
    <t>ＲＨＥ</t>
    <phoneticPr fontId="1"/>
  </si>
  <si>
    <t>℃</t>
    <phoneticPr fontId="1"/>
  </si>
  <si>
    <t>kW</t>
    <phoneticPr fontId="1"/>
  </si>
  <si>
    <t>最小循環</t>
    <rPh sb="0" eb="2">
      <t>サイショウ</t>
    </rPh>
    <rPh sb="2" eb="4">
      <t>ジュンカン</t>
    </rPh>
    <phoneticPr fontId="1"/>
  </si>
  <si>
    <t>循環時間</t>
    <rPh sb="0" eb="2">
      <t>ジュンカン</t>
    </rPh>
    <rPh sb="2" eb="4">
      <t>ジカン</t>
    </rPh>
    <phoneticPr fontId="1"/>
  </si>
  <si>
    <t>発電端電力1台当たり</t>
    <rPh sb="0" eb="2">
      <t>ハツデン</t>
    </rPh>
    <rPh sb="2" eb="3">
      <t>バタ</t>
    </rPh>
    <rPh sb="3" eb="5">
      <t>デンリョク</t>
    </rPh>
    <rPh sb="6" eb="7">
      <t>ダイ</t>
    </rPh>
    <rPh sb="7" eb="8">
      <t>ア</t>
    </rPh>
    <phoneticPr fontId="1"/>
  </si>
  <si>
    <t>送電端電力1台当たり</t>
    <rPh sb="0" eb="2">
      <t>ソウデン</t>
    </rPh>
    <rPh sb="2" eb="3">
      <t>バタ</t>
    </rPh>
    <rPh sb="3" eb="5">
      <t>デンリョク</t>
    </rPh>
    <rPh sb="6" eb="7">
      <t>ダイ</t>
    </rPh>
    <rPh sb="7" eb="8">
      <t>ア</t>
    </rPh>
    <phoneticPr fontId="1"/>
  </si>
  <si>
    <t>エンジンUnit</t>
    <phoneticPr fontId="1"/>
  </si>
  <si>
    <t>設置費用</t>
    <rPh sb="0" eb="2">
      <t>セッチ</t>
    </rPh>
    <rPh sb="2" eb="4">
      <t>ヒヨウ</t>
    </rPh>
    <phoneticPr fontId="1"/>
  </si>
  <si>
    <t>その他費用</t>
    <rPh sb="2" eb="3">
      <t>タ</t>
    </rPh>
    <rPh sb="3" eb="5">
      <t>ヒヨウ</t>
    </rPh>
    <phoneticPr fontId="1"/>
  </si>
  <si>
    <t>発電端定格出力</t>
    <rPh sb="0" eb="2">
      <t>ハツデン</t>
    </rPh>
    <rPh sb="2" eb="3">
      <t>バタ</t>
    </rPh>
    <rPh sb="3" eb="5">
      <t>テイカク</t>
    </rPh>
    <rPh sb="5" eb="7">
      <t>シュツリョク</t>
    </rPh>
    <phoneticPr fontId="1"/>
  </si>
  <si>
    <t>蓄熱発電</t>
    <rPh sb="0" eb="2">
      <t>チクネツ</t>
    </rPh>
    <rPh sb="2" eb="4">
      <t>ハツデン</t>
    </rPh>
    <phoneticPr fontId="1"/>
  </si>
  <si>
    <t>温度差発電シュミレーション</t>
    <rPh sb="0" eb="3">
      <t>オンドサ</t>
    </rPh>
    <rPh sb="3" eb="5">
      <t>ハツデン</t>
    </rPh>
    <phoneticPr fontId="1"/>
  </si>
  <si>
    <t>kPa（ABS）</t>
    <phoneticPr fontId="1"/>
  </si>
  <si>
    <t>ドレン水圧力(Tetensの式)</t>
    <rPh sb="3" eb="4">
      <t>スイ</t>
    </rPh>
    <rPh sb="4" eb="6">
      <t>アツリョク</t>
    </rPh>
    <rPh sb="14" eb="15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</si>
</sst>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¥&quot;#,##0;&quot;¥&quot;\-#,##0"/>
    <numFmt numFmtId="176" formatCode="0.00_ "/>
    <numFmt numFmtId="177" formatCode="#,##0_ "/>
    <numFmt numFmtId="178" formatCode="#,##0.0_ "/>
    <numFmt numFmtId="179" formatCode="0.0_ "/>
    <numFmt numFmtId="180" formatCode="#,##0.00_ "/>
    <numFmt numFmtId="181" formatCode="0.0_);[Red]\(0.0\)"/>
    <numFmt numFmtId="182" formatCode="0_);[Red]\(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rgb="FF00206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176" fontId="0" fillId="2" borderId="2" xfId="0" applyNumberForma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8" xfId="0" applyFill="1" applyBorder="1">
      <alignment vertical="center"/>
    </xf>
    <xf numFmtId="176" fontId="0" fillId="2" borderId="9" xfId="0" applyNumberFormat="1" applyFill="1" applyBorder="1">
      <alignment vertical="center"/>
    </xf>
    <xf numFmtId="0" fontId="3" fillId="0" borderId="0" xfId="1">
      <alignment vertical="center"/>
    </xf>
    <xf numFmtId="179" fontId="0" fillId="0" borderId="0" xfId="0" applyNumberFormat="1">
      <alignment vertical="center"/>
    </xf>
    <xf numFmtId="0" fontId="2" fillId="0" borderId="0" xfId="1" applyFont="1">
      <alignment vertical="center"/>
    </xf>
    <xf numFmtId="5" fontId="5" fillId="0" borderId="0" xfId="1" applyNumberFormat="1" applyFont="1">
      <alignment vertical="center"/>
    </xf>
    <xf numFmtId="0" fontId="5" fillId="0" borderId="0" xfId="1" applyFont="1">
      <alignment vertical="center"/>
    </xf>
    <xf numFmtId="5" fontId="3" fillId="0" borderId="0" xfId="1" applyNumberFormat="1">
      <alignment vertical="center"/>
    </xf>
    <xf numFmtId="0" fontId="3" fillId="3" borderId="0" xfId="1" applyFill="1">
      <alignment vertical="center"/>
    </xf>
    <xf numFmtId="177" fontId="3" fillId="0" borderId="0" xfId="1" applyNumberFormat="1">
      <alignment vertical="center"/>
    </xf>
    <xf numFmtId="0" fontId="6" fillId="0" borderId="0" xfId="1" applyFont="1">
      <alignment vertical="center"/>
    </xf>
    <xf numFmtId="177" fontId="3" fillId="0" borderId="0" xfId="1" applyNumberFormat="1" applyFill="1">
      <alignment vertical="center"/>
    </xf>
    <xf numFmtId="0" fontId="7" fillId="0" borderId="0" xfId="1" applyFont="1">
      <alignment vertical="center"/>
    </xf>
    <xf numFmtId="176" fontId="0" fillId="2" borderId="4" xfId="0" applyNumberFormat="1" applyFill="1" applyBorder="1">
      <alignment vertical="center"/>
    </xf>
    <xf numFmtId="180" fontId="0" fillId="2" borderId="2" xfId="0" applyNumberFormat="1" applyFill="1" applyBorder="1">
      <alignment vertical="center"/>
    </xf>
    <xf numFmtId="180" fontId="0" fillId="2" borderId="4" xfId="0" applyNumberFormat="1" applyFill="1" applyBorder="1">
      <alignment vertical="center"/>
    </xf>
    <xf numFmtId="0" fontId="0" fillId="3" borderId="0" xfId="0" applyFill="1">
      <alignment vertical="center"/>
    </xf>
    <xf numFmtId="0" fontId="0" fillId="3" borderId="0" xfId="0" applyFill="1" applyProtection="1">
      <alignment vertical="center"/>
      <protection locked="0"/>
    </xf>
    <xf numFmtId="179" fontId="0" fillId="3" borderId="0" xfId="0" applyNumberFormat="1" applyFill="1" applyProtection="1">
      <alignment vertical="center"/>
      <protection locked="0"/>
    </xf>
    <xf numFmtId="5" fontId="3" fillId="3" borderId="0" xfId="1" applyNumberFormat="1" applyFill="1" applyProtection="1">
      <alignment vertical="center"/>
      <protection locked="0"/>
    </xf>
    <xf numFmtId="0" fontId="3" fillId="3" borderId="0" xfId="1" applyFill="1" applyProtection="1">
      <alignment vertical="center"/>
      <protection locked="0"/>
    </xf>
    <xf numFmtId="177" fontId="3" fillId="3" borderId="0" xfId="1" applyNumberFormat="1" applyFill="1" applyProtection="1">
      <alignment vertical="center"/>
      <protection locked="0"/>
    </xf>
    <xf numFmtId="178" fontId="7" fillId="0" borderId="0" xfId="1" applyNumberFormat="1" applyFont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181" fontId="0" fillId="0" borderId="0" xfId="0" applyNumberFormat="1">
      <alignment vertical="center"/>
    </xf>
    <xf numFmtId="0" fontId="0" fillId="2" borderId="10" xfId="0" applyFill="1" applyBorder="1">
      <alignment vertical="center"/>
    </xf>
    <xf numFmtId="177" fontId="0" fillId="2" borderId="11" xfId="0" applyNumberFormat="1" applyFill="1" applyBorder="1">
      <alignment vertical="center"/>
    </xf>
    <xf numFmtId="182" fontId="3" fillId="0" borderId="0" xfId="1" applyNumberFormat="1" applyAlignment="1">
      <alignment horizontal="right" vertical="center"/>
    </xf>
    <xf numFmtId="0" fontId="0" fillId="2" borderId="11" xfId="0" applyFill="1" applyBorder="1" applyProtection="1">
      <alignment vertical="center"/>
      <protection locked="0"/>
    </xf>
    <xf numFmtId="5" fontId="3" fillId="0" borderId="0" xfId="1" applyNumberFormat="1" applyFill="1" applyProtection="1">
      <alignment vertical="center"/>
    </xf>
    <xf numFmtId="180" fontId="3" fillId="0" borderId="0" xfId="1" applyNumberFormat="1" applyFill="1" applyProtection="1">
      <alignment vertical="center"/>
    </xf>
    <xf numFmtId="0" fontId="0" fillId="0" borderId="0" xfId="0" applyFill="1" applyProtection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9" fillId="0" borderId="0" xfId="0" applyFont="1">
      <alignment vertical="center"/>
    </xf>
    <xf numFmtId="179" fontId="0" fillId="2" borderId="8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181" fontId="0" fillId="0" borderId="0" xfId="2" applyNumberFormat="1" applyFont="1" applyAlignment="1">
      <alignment horizontal="center" vertical="center"/>
    </xf>
  </cellXfs>
  <cellStyles count="7">
    <cellStyle name="パーセント" xfId="2" builtinId="5"/>
    <cellStyle name="ハイパーリンク" xfId="3" builtinId="8" hidden="1"/>
    <cellStyle name="ハイパーリンク" xfId="5" builtinId="8" hidden="1"/>
    <cellStyle name="標準" xfId="0" builtinId="0"/>
    <cellStyle name="標準 2" xfId="1"/>
    <cellStyle name="表示済みのハイパーリンク" xfId="4" builtinId="9" hidden="1"/>
    <cellStyle name="表示済みのハイパーリンク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4" Type="http://schemas.openxmlformats.org/officeDocument/2006/relationships/image" Target="../media/image4.wmf"/><Relationship Id="rId1" Type="http://schemas.openxmlformats.org/officeDocument/2006/relationships/image" Target="../media/image1.gif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24</xdr:row>
      <xdr:rowOff>47625</xdr:rowOff>
    </xdr:from>
    <xdr:to>
      <xdr:col>12</xdr:col>
      <xdr:colOff>628650</xdr:colOff>
      <xdr:row>31</xdr:row>
      <xdr:rowOff>28575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7019925" y="4219575"/>
          <a:ext cx="2447925" cy="11811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B050"/>
              </a:solidFill>
            </a:rPr>
            <a:t>発電後の温水の２次利用</a:t>
          </a:r>
          <a:endParaRPr kumimoji="1" lang="en-US" altLang="ja-JP" sz="1100" b="1">
            <a:solidFill>
              <a:srgbClr val="00B05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</a:rPr>
            <a:t>・グリーンハウスの暖房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</a:rPr>
            <a:t>・床暖房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</a:rPr>
            <a:t>・養魚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</a:rPr>
            <a:t>＊熱の直接利用で投資回収の効率化</a:t>
          </a:r>
        </a:p>
      </xdr:txBody>
    </xdr:sp>
    <xdr:clientData/>
  </xdr:twoCellAnchor>
  <xdr:twoCellAnchor>
    <xdr:from>
      <xdr:col>0</xdr:col>
      <xdr:colOff>409577</xdr:colOff>
      <xdr:row>26</xdr:row>
      <xdr:rowOff>47625</xdr:rowOff>
    </xdr:from>
    <xdr:to>
      <xdr:col>9</xdr:col>
      <xdr:colOff>304799</xdr:colOff>
      <xdr:row>41</xdr:row>
      <xdr:rowOff>123825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GrpSpPr/>
      </xdr:nvGrpSpPr>
      <xdr:grpSpPr>
        <a:xfrm>
          <a:off x="409577" y="4708525"/>
          <a:ext cx="6359522" cy="2743200"/>
          <a:chOff x="571473" y="1500174"/>
          <a:chExt cx="7062817" cy="2858604"/>
        </a:xfrm>
      </xdr:grpSpPr>
      <xdr:grpSp>
        <xdr:nvGrpSpPr>
          <xdr:cNvPr id="32" name="グループ化 31">
            <a:extLst>
              <a:ext uri="{FF2B5EF4-FFF2-40B4-BE49-F238E27FC236}">
                <a16:creationId xmlns:a16="http://schemas.microsoft.com/office/drawing/2014/main" xmlns="" id="{00000000-0008-0000-0100-000020000000}"/>
              </a:ext>
            </a:extLst>
          </xdr:cNvPr>
          <xdr:cNvGrpSpPr>
            <a:grpSpLocks/>
          </xdr:cNvGrpSpPr>
        </xdr:nvGrpSpPr>
        <xdr:grpSpPr bwMode="auto">
          <a:xfrm>
            <a:off x="571473" y="1500174"/>
            <a:ext cx="4606886" cy="2858604"/>
            <a:chOff x="142844" y="1142984"/>
            <a:chExt cx="4548597" cy="2927082"/>
          </a:xfrm>
        </xdr:grpSpPr>
        <xdr:pic>
          <xdr:nvPicPr>
            <xdr:cNvPr id="38" name="Picture 2" descr="E:\Da・Vinci\添付３\RHEani.gif">
              <a:extLst>
                <a:ext uri="{FF2B5EF4-FFF2-40B4-BE49-F238E27FC236}">
                  <a16:creationId xmlns:a16="http://schemas.microsoft.com/office/drawing/2014/main" xmlns="" id="{00000000-0008-0000-0100-000026000000}"/>
                </a:ext>
              </a:extLst>
            </xdr:cNvPr>
            <xdr:cNvPicPr>
              <a:picLocks noChangeAspect="1" noChangeArrowheads="1" noCrop="1"/>
            </xdr:cNvPicPr>
          </xdr:nvPicPr>
          <xdr:blipFill>
            <a:blip xmlns:r="http://schemas.openxmlformats.org/officeDocument/2006/relationships" r:embed="rId1" cstate="print"/>
            <a:srcRect/>
            <a:stretch>
              <a:fillRect/>
            </a:stretch>
          </xdr:blipFill>
          <xdr:spPr bwMode="auto">
            <a:xfrm>
              <a:off x="285720" y="1142984"/>
              <a:ext cx="4308478" cy="26322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sp macro="" textlink="">
          <xdr:nvSpPr>
            <xdr:cNvPr id="39" name="AutoShape 335">
              <a:extLst>
                <a:ext uri="{FF2B5EF4-FFF2-40B4-BE49-F238E27FC236}">
                  <a16:creationId xmlns:a16="http://schemas.microsoft.com/office/drawing/2014/main" xmlns="" id="{00000000-0008-0000-0100-000027000000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1894103" y="3390615"/>
              <a:ext cx="427884" cy="357190"/>
            </a:xfrm>
            <a:prstGeom prst="flowChartCollate">
              <a:avLst/>
            </a:prstGeom>
            <a:solidFill>
              <a:srgbClr val="FFFF00"/>
            </a:solidFill>
            <a:ln w="285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9pPr>
            </a:lstStyle>
            <a:p>
              <a:endParaRPr kumimoji="0" lang="ja-JP" altLang="en-US"/>
            </a:p>
          </xdr:txBody>
        </xdr:sp>
        <xdr:sp macro="" textlink="">
          <xdr:nvSpPr>
            <xdr:cNvPr id="41" name="下矢印 40">
              <a:extLst>
                <a:ext uri="{FF2B5EF4-FFF2-40B4-BE49-F238E27FC236}">
                  <a16:creationId xmlns:a16="http://schemas.microsoft.com/office/drawing/2014/main" xmlns="" id="{00000000-0008-0000-0100-000029000000}"/>
                </a:ext>
              </a:extLst>
            </xdr:cNvPr>
            <xdr:cNvSpPr/>
          </xdr:nvSpPr>
          <xdr:spPr>
            <a:xfrm rot="10800000">
              <a:off x="3774092" y="1714488"/>
              <a:ext cx="214314" cy="785818"/>
            </a:xfrm>
            <a:prstGeom prst="downArrow">
              <a:avLst>
                <a:gd name="adj1" fmla="val 50000"/>
                <a:gd name="adj2" fmla="val 84388"/>
              </a:avLst>
            </a:prstGeom>
            <a:gradFill flip="none" rotWithShape="1"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0" scaled="0"/>
              <a:tileRect/>
            </a:gradFill>
            <a:scene3d>
              <a:camera prst="orthographicFront">
                <a:rot lat="0" lon="0" rev="0"/>
              </a:camera>
              <a:lightRig rig="flat" dir="t"/>
            </a:scene3d>
            <a:sp3d prstMaterial="plastic">
              <a:bevelT w="120900" h="88900"/>
              <a:bevelB w="88900" h="31750" prst="angle"/>
            </a:sp3d>
          </xdr:spPr>
          <xdr:style>
            <a:lnRef idx="0">
              <a:schemeClr val="lt1">
                <a:hueOff val="0"/>
                <a:satOff val="0"/>
                <a:lumOff val="0"/>
                <a:alphaOff val="0"/>
              </a:schemeClr>
            </a:lnRef>
            <a:fillRef idx="3">
              <a:schemeClr val="accent5">
                <a:hueOff val="-3311292"/>
                <a:satOff val="13270"/>
                <a:lumOff val="2876"/>
                <a:alphaOff val="0"/>
              </a:schemeClr>
            </a:fillRef>
            <a:effectRef idx="2">
              <a:schemeClr val="accent5">
                <a:hueOff val="-3311292"/>
                <a:satOff val="13270"/>
                <a:lumOff val="2876"/>
                <a:alphaOff val="0"/>
              </a:schemeClr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ja-JP" altLang="en-US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42" name="テキスト ボックス 47">
              <a:extLst>
                <a:ext uri="{FF2B5EF4-FFF2-40B4-BE49-F238E27FC236}">
                  <a16:creationId xmlns:a16="http://schemas.microsoft.com/office/drawing/2014/main" xmlns="" id="{00000000-0008-0000-0100-00002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91309" y="2013160"/>
              <a:ext cx="1000132" cy="27108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9pPr>
            </a:lstStyle>
            <a:p>
              <a:pPr algn="ctr"/>
              <a:r>
                <a:rPr lang="ja-JP" altLang="en-US" sz="1200" b="1">
                  <a:latin typeface="Times New Roman" pitchFamily="18" charset="0"/>
                  <a:cs typeface="Times New Roman" pitchFamily="18" charset="0"/>
                </a:rPr>
                <a:t>蒸気</a:t>
              </a:r>
            </a:p>
          </xdr:txBody>
        </xdr:sp>
        <xdr:sp macro="" textlink="">
          <xdr:nvSpPr>
            <xdr:cNvPr id="43" name="右矢印 42">
              <a:extLst>
                <a:ext uri="{FF2B5EF4-FFF2-40B4-BE49-F238E27FC236}">
                  <a16:creationId xmlns:a16="http://schemas.microsoft.com/office/drawing/2014/main" xmlns="" id="{00000000-0008-0000-0100-00002B000000}"/>
                </a:ext>
              </a:extLst>
            </xdr:cNvPr>
            <xdr:cNvSpPr/>
          </xdr:nvSpPr>
          <xdr:spPr>
            <a:xfrm rot="5400000">
              <a:off x="757401" y="2000239"/>
              <a:ext cx="785814" cy="214314"/>
            </a:xfrm>
            <a:prstGeom prst="rightArrow">
              <a:avLst>
                <a:gd name="adj1" fmla="val 50000"/>
                <a:gd name="adj2" fmla="val 111133"/>
              </a:avLst>
            </a:prstGeom>
            <a:gradFill flip="none" rotWithShape="1"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10800000" scaled="1"/>
              <a:tileRect/>
            </a:gradFill>
            <a:scene3d>
              <a:camera prst="orthographicFront"/>
              <a:lightRig rig="flat" dir="t"/>
            </a:scene3d>
            <a:sp3d prstMaterial="plastic">
              <a:bevelT w="120900" h="88900"/>
              <a:bevelB w="88900" h="31750" prst="angle"/>
            </a:sp3d>
          </xdr:spPr>
          <xdr:style>
            <a:lnRef idx="0">
              <a:schemeClr val="lt1">
                <a:hueOff val="0"/>
                <a:satOff val="0"/>
                <a:lumOff val="0"/>
                <a:alphaOff val="0"/>
              </a:schemeClr>
            </a:lnRef>
            <a:fillRef idx="3">
              <a:schemeClr val="accent5">
                <a:hueOff val="-3311292"/>
                <a:satOff val="13270"/>
                <a:lumOff val="2876"/>
                <a:alphaOff val="0"/>
              </a:schemeClr>
            </a:fillRef>
            <a:effectRef idx="2">
              <a:schemeClr val="accent5">
                <a:hueOff val="-3311292"/>
                <a:satOff val="13270"/>
                <a:lumOff val="2876"/>
                <a:alphaOff val="0"/>
              </a:schemeClr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ja-JP" altLang="en-US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44" name="テキスト ボックス 51">
              <a:extLst>
                <a:ext uri="{FF2B5EF4-FFF2-40B4-BE49-F238E27FC236}">
                  <a16:creationId xmlns:a16="http://schemas.microsoft.com/office/drawing/2014/main" xmlns="" id="{00000000-0008-0000-0100-00002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77769" y="1845553"/>
              <a:ext cx="1000132" cy="27108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9pPr>
            </a:lstStyle>
            <a:p>
              <a:pPr algn="ctr"/>
              <a:r>
                <a:rPr lang="ja-JP" altLang="en-US" sz="1200" b="1">
                  <a:latin typeface="Times New Roman" pitchFamily="18" charset="0"/>
                  <a:cs typeface="Times New Roman" pitchFamily="18" charset="0"/>
                </a:rPr>
                <a:t>液体</a:t>
              </a:r>
            </a:p>
          </xdr:txBody>
        </xdr:sp>
        <xdr:sp macro="" textlink="">
          <xdr:nvSpPr>
            <xdr:cNvPr id="45" name="テキスト ボックス 54">
              <a:extLst>
                <a:ext uri="{FF2B5EF4-FFF2-40B4-BE49-F238E27FC236}">
                  <a16:creationId xmlns:a16="http://schemas.microsoft.com/office/drawing/2014/main" xmlns="" id="{00000000-0008-0000-0100-00002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2844" y="3786190"/>
              <a:ext cx="1571604" cy="27108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9pPr>
            </a:lstStyle>
            <a:p>
              <a:pPr algn="ctr"/>
              <a:r>
                <a:rPr lang="ja-JP" altLang="en-US" sz="1200" b="1">
                  <a:latin typeface="Times New Roman" pitchFamily="18" charset="0"/>
                  <a:cs typeface="Times New Roman" pitchFamily="18" charset="0"/>
                </a:rPr>
                <a:t>凝縮器</a:t>
              </a:r>
            </a:p>
          </xdr:txBody>
        </xdr:sp>
        <xdr:sp macro="" textlink="">
          <xdr:nvSpPr>
            <xdr:cNvPr id="46" name="テキスト ボックス 55">
              <a:extLst>
                <a:ext uri="{FF2B5EF4-FFF2-40B4-BE49-F238E27FC236}">
                  <a16:creationId xmlns:a16="http://schemas.microsoft.com/office/drawing/2014/main" xmlns="" id="{00000000-0008-0000-0100-00002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0450" y="3798979"/>
              <a:ext cx="1571636" cy="27108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9pPr>
            </a:lstStyle>
            <a:p>
              <a:pPr algn="ctr"/>
              <a:r>
                <a:rPr lang="ja-JP" altLang="en-US" sz="1200" b="1">
                  <a:latin typeface="Times New Roman" pitchFamily="18" charset="0"/>
                  <a:cs typeface="Times New Roman" pitchFamily="18" charset="0"/>
                </a:rPr>
                <a:t>蒸発器</a:t>
              </a:r>
            </a:p>
          </xdr:txBody>
        </xdr:sp>
      </xdr:grpSp>
      <xdr:sp macro="" textlink="">
        <xdr:nvSpPr>
          <xdr:cNvPr id="33" name="正方形/長方形 32">
            <a:extLst>
              <a:ext uri="{FF2B5EF4-FFF2-40B4-BE49-F238E27FC236}">
                <a16:creationId xmlns:a16="http://schemas.microsoft.com/office/drawing/2014/main" xmlns="" id="{00000000-0008-0000-0100-000021000000}"/>
              </a:ext>
            </a:extLst>
          </xdr:cNvPr>
          <xdr:cNvSpPr/>
        </xdr:nvSpPr>
        <xdr:spPr>
          <a:xfrm>
            <a:off x="5067153" y="3011738"/>
            <a:ext cx="2567137" cy="1244752"/>
          </a:xfrm>
          <a:prstGeom prst="rect">
            <a:avLst/>
          </a:prstGeom>
          <a:solidFill>
            <a:srgbClr val="FF0000"/>
          </a:solidFill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200" b="1"/>
              <a:t>蓄熱槽</a:t>
            </a:r>
          </a:p>
        </xdr:txBody>
      </xdr:sp>
      <xdr:cxnSp macro="">
        <xdr:nvCxnSpPr>
          <xdr:cNvPr id="34" name="直線矢印コネクタ 33">
            <a:extLst>
              <a:ext uri="{FF2B5EF4-FFF2-40B4-BE49-F238E27FC236}">
                <a16:creationId xmlns:a16="http://schemas.microsoft.com/office/drawing/2014/main" xmlns="" id="{00000000-0008-0000-0100-000022000000}"/>
              </a:ext>
            </a:extLst>
          </xdr:cNvPr>
          <xdr:cNvCxnSpPr/>
        </xdr:nvCxnSpPr>
        <xdr:spPr>
          <a:xfrm>
            <a:off x="4429124" y="3429000"/>
            <a:ext cx="500066" cy="1588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" name="直線矢印コネクタ 34">
            <a:extLst>
              <a:ext uri="{FF2B5EF4-FFF2-40B4-BE49-F238E27FC236}">
                <a16:creationId xmlns:a16="http://schemas.microsoft.com/office/drawing/2014/main" xmlns="" id="{00000000-0008-0000-0100-000023000000}"/>
              </a:ext>
            </a:extLst>
          </xdr:cNvPr>
          <xdr:cNvCxnSpPr/>
        </xdr:nvCxnSpPr>
        <xdr:spPr>
          <a:xfrm flipH="1" flipV="1">
            <a:off x="4429125" y="4071943"/>
            <a:ext cx="500066" cy="1588"/>
          </a:xfrm>
          <a:prstGeom prst="straightConnector1">
            <a:avLst/>
          </a:prstGeom>
          <a:ln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6" name="テキスト ボックス 38">
            <a:extLst>
              <a:ext uri="{FF2B5EF4-FFF2-40B4-BE49-F238E27FC236}">
                <a16:creationId xmlns:a16="http://schemas.microsoft.com/office/drawing/2014/main" xmlns="" id="{00000000-0008-0000-0100-000024000000}"/>
              </a:ext>
            </a:extLst>
          </xdr:cNvPr>
          <xdr:cNvSpPr txBox="1"/>
        </xdr:nvSpPr>
        <xdr:spPr>
          <a:xfrm>
            <a:off x="2000232" y="1714488"/>
            <a:ext cx="642942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Arial" charset="0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Arial" charset="0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Arial" charset="0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Arial" charset="0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Arial" charset="0"/>
              </a:defRPr>
            </a:lvl9pPr>
          </a:lstStyle>
          <a:p>
            <a:r>
              <a:rPr kumimoji="1" lang="en-US" altLang="ja-JP" b="1"/>
              <a:t>RHE</a:t>
            </a:r>
            <a:endParaRPr kumimoji="1" lang="ja-JP" altLang="en-US" b="1"/>
          </a:p>
        </xdr:txBody>
      </xdr:sp>
      <xdr:cxnSp macro="">
        <xdr:nvCxnSpPr>
          <xdr:cNvPr id="37" name="直線矢印コネクタ 36">
            <a:extLst>
              <a:ext uri="{FF2B5EF4-FFF2-40B4-BE49-F238E27FC236}">
                <a16:creationId xmlns:a16="http://schemas.microsoft.com/office/drawing/2014/main" xmlns="" id="{00000000-0008-0000-0100-000025000000}"/>
              </a:ext>
            </a:extLst>
          </xdr:cNvPr>
          <xdr:cNvCxnSpPr>
            <a:stCxn id="36" idx="2"/>
          </xdr:cNvCxnSpPr>
        </xdr:nvCxnSpPr>
        <xdr:spPr>
          <a:xfrm>
            <a:off x="2321703" y="2083820"/>
            <a:ext cx="250033" cy="130733"/>
          </a:xfrm>
          <a:prstGeom prst="straightConnector1">
            <a:avLst/>
          </a:prstGeom>
          <a:ln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276225</xdr:colOff>
      <xdr:row>17</xdr:row>
      <xdr:rowOff>38100</xdr:rowOff>
    </xdr:from>
    <xdr:to>
      <xdr:col>2</xdr:col>
      <xdr:colOff>287813</xdr:colOff>
      <xdr:row>22</xdr:row>
      <xdr:rowOff>142875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CxnSpPr/>
      </xdr:nvCxnSpPr>
      <xdr:spPr>
        <a:xfrm flipH="1">
          <a:off x="1762125" y="3000375"/>
          <a:ext cx="11588" cy="9620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400050</xdr:colOff>
      <xdr:row>22</xdr:row>
      <xdr:rowOff>133350</xdr:rowOff>
    </xdr:from>
    <xdr:to>
      <xdr:col>7</xdr:col>
      <xdr:colOff>666750</xdr:colOff>
      <xdr:row>34</xdr:row>
      <xdr:rowOff>28575</xdr:rowOff>
    </xdr:to>
    <xdr:sp macro="" textlink="">
      <xdr:nvSpPr>
        <xdr:cNvPr id="65" name="下矢印 64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/>
      </xdr:nvSpPr>
      <xdr:spPr>
        <a:xfrm>
          <a:off x="5572125" y="3952875"/>
          <a:ext cx="266700" cy="1952625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266700</xdr:colOff>
      <xdr:row>22</xdr:row>
      <xdr:rowOff>142875</xdr:rowOff>
    </xdr:from>
    <xdr:to>
      <xdr:col>7</xdr:col>
      <xdr:colOff>504825</xdr:colOff>
      <xdr:row>22</xdr:row>
      <xdr:rowOff>152400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CxnSpPr/>
      </xdr:nvCxnSpPr>
      <xdr:spPr>
        <a:xfrm>
          <a:off x="1752600" y="3962400"/>
          <a:ext cx="3924300" cy="95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20638</xdr:colOff>
      <xdr:row>2</xdr:row>
      <xdr:rowOff>133354</xdr:rowOff>
    </xdr:from>
    <xdr:to>
      <xdr:col>3</xdr:col>
      <xdr:colOff>588940</xdr:colOff>
      <xdr:row>17</xdr:row>
      <xdr:rowOff>66681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8625" y="815992"/>
          <a:ext cx="2505077" cy="1920852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104774</xdr:colOff>
      <xdr:row>18</xdr:row>
      <xdr:rowOff>85727</xdr:rowOff>
    </xdr:from>
    <xdr:to>
      <xdr:col>1</xdr:col>
      <xdr:colOff>562757</xdr:colOff>
      <xdr:row>29</xdr:row>
      <xdr:rowOff>24429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88"/>
        <a:stretch/>
      </xdr:blipFill>
      <xdr:spPr>
        <a:xfrm rot="5400000">
          <a:off x="-178510" y="3512261"/>
          <a:ext cx="1824652" cy="1258083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29</xdr:row>
      <xdr:rowOff>19054</xdr:rowOff>
    </xdr:from>
    <xdr:to>
      <xdr:col>0</xdr:col>
      <xdr:colOff>704852</xdr:colOff>
      <xdr:row>38</xdr:row>
      <xdr:rowOff>114304</xdr:rowOff>
    </xdr:to>
    <xdr:cxnSp macro="">
      <xdr:nvCxnSpPr>
        <xdr:cNvPr id="5" name="カギ線コネクタ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CxnSpPr/>
      </xdr:nvCxnSpPr>
      <xdr:spPr>
        <a:xfrm rot="5400000">
          <a:off x="-366711" y="5614990"/>
          <a:ext cx="1638300" cy="504827"/>
        </a:xfrm>
        <a:prstGeom prst="bentConnector3">
          <a:avLst>
            <a:gd name="adj1" fmla="val 50000"/>
          </a:avLst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180975</xdr:colOff>
      <xdr:row>38</xdr:row>
      <xdr:rowOff>142875</xdr:rowOff>
    </xdr:from>
    <xdr:to>
      <xdr:col>0</xdr:col>
      <xdr:colOff>542925</xdr:colOff>
      <xdr:row>38</xdr:row>
      <xdr:rowOff>142875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CxnSpPr/>
      </xdr:nvCxnSpPr>
      <xdr:spPr>
        <a:xfrm>
          <a:off x="180975" y="6715125"/>
          <a:ext cx="361950" cy="0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304799</xdr:colOff>
      <xdr:row>31</xdr:row>
      <xdr:rowOff>28575</xdr:rowOff>
    </xdr:from>
    <xdr:to>
      <xdr:col>9</xdr:col>
      <xdr:colOff>561975</xdr:colOff>
      <xdr:row>37</xdr:row>
      <xdr:rowOff>138363</xdr:rowOff>
    </xdr:to>
    <xdr:cxnSp macro="">
      <xdr:nvCxnSpPr>
        <xdr:cNvPr id="6" name="カギ線コネクタ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>
          <a:stCxn id="33" idx="3"/>
        </xdr:cNvCxnSpPr>
      </xdr:nvCxnSpPr>
      <xdr:spPr>
        <a:xfrm flipV="1">
          <a:off x="6781799" y="5400675"/>
          <a:ext cx="257176" cy="1138488"/>
        </a:xfrm>
        <a:prstGeom prst="bentConnector2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8</xdr:row>
      <xdr:rowOff>28574</xdr:rowOff>
    </xdr:from>
    <xdr:to>
      <xdr:col>2</xdr:col>
      <xdr:colOff>445313</xdr:colOff>
      <xdr:row>18</xdr:row>
      <xdr:rowOff>38103</xdr:rowOff>
    </xdr:to>
    <xdr:pic>
      <xdr:nvPicPr>
        <xdr:cNvPr id="40" name="図 39" descr="C:\Users\Kenji Higashi\AppData\Local\Microsoft\Windows\Temporary Internet Files\Content.IE5\RPLSA59A\MC900297985[1].wmf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7799"/>
          <a:ext cx="1921688" cy="1724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314325</xdr:colOff>
      <xdr:row>3</xdr:row>
      <xdr:rowOff>76200</xdr:rowOff>
    </xdr:from>
    <xdr:to>
      <xdr:col>3</xdr:col>
      <xdr:colOff>581025</xdr:colOff>
      <xdr:row>4</xdr:row>
      <xdr:rowOff>152400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1790700" y="638175"/>
          <a:ext cx="9429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地熱発電</a:t>
          </a:r>
        </a:p>
      </xdr:txBody>
    </xdr:sp>
    <xdr:clientData/>
  </xdr:twoCellAnchor>
  <xdr:twoCellAnchor>
    <xdr:from>
      <xdr:col>1</xdr:col>
      <xdr:colOff>382588</xdr:colOff>
      <xdr:row>13</xdr:row>
      <xdr:rowOff>133354</xdr:rowOff>
    </xdr:from>
    <xdr:to>
      <xdr:col>2</xdr:col>
      <xdr:colOff>649288</xdr:colOff>
      <xdr:row>15</xdr:row>
      <xdr:rowOff>38104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 txBox="1"/>
      </xdr:nvSpPr>
      <xdr:spPr>
        <a:xfrm>
          <a:off x="1182688" y="2419354"/>
          <a:ext cx="9429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排熱発電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29"/>
  <sheetViews>
    <sheetView tabSelected="1" topLeftCell="A2" zoomScale="90" zoomScaleNormal="90" zoomScalePageLayoutView="90" workbookViewId="0">
      <selection activeCell="F5" sqref="F5"/>
    </sheetView>
  </sheetViews>
  <sheetFormatPr baseColWidth="12" defaultColWidth="8.83203125" defaultRowHeight="14" x14ac:dyDescent="0.15"/>
  <cols>
    <col min="1" max="1" width="28.6640625" style="13" customWidth="1"/>
    <col min="2" max="2" width="20.33203125" style="18" customWidth="1"/>
    <col min="3" max="3" width="4.83203125" style="13" customWidth="1"/>
    <col min="4" max="4" width="13" style="13" customWidth="1"/>
    <col min="5" max="5" width="12.5" style="13" customWidth="1"/>
    <col min="6" max="6" width="12.6640625" style="13" customWidth="1"/>
    <col min="7" max="7" width="11.1640625" style="13" customWidth="1"/>
    <col min="8" max="8" width="12" style="13" customWidth="1"/>
    <col min="9" max="9" width="11.33203125" style="13" customWidth="1"/>
    <col min="10" max="10" width="11.5" style="13" customWidth="1"/>
    <col min="11" max="11" width="10.1640625" style="13" customWidth="1"/>
    <col min="12" max="256" width="8.83203125" style="13"/>
    <col min="257" max="257" width="26.6640625" style="13" customWidth="1"/>
    <col min="258" max="258" width="12.6640625" style="13" bestFit="1" customWidth="1"/>
    <col min="259" max="259" width="4.83203125" style="13" customWidth="1"/>
    <col min="260" max="261" width="10.33203125" style="13" bestFit="1" customWidth="1"/>
    <col min="262" max="262" width="9.83203125" style="13" customWidth="1"/>
    <col min="263" max="263" width="10.6640625" style="13" customWidth="1"/>
    <col min="264" max="264" width="9.6640625" style="13" customWidth="1"/>
    <col min="265" max="265" width="10" style="13" customWidth="1"/>
    <col min="266" max="266" width="11.5" style="13" customWidth="1"/>
    <col min="267" max="267" width="10.1640625" style="13" customWidth="1"/>
    <col min="268" max="512" width="8.83203125" style="13"/>
    <col min="513" max="513" width="26.6640625" style="13" customWidth="1"/>
    <col min="514" max="514" width="12.6640625" style="13" bestFit="1" customWidth="1"/>
    <col min="515" max="515" width="4.83203125" style="13" customWidth="1"/>
    <col min="516" max="517" width="10.33203125" style="13" bestFit="1" customWidth="1"/>
    <col min="518" max="518" width="9.83203125" style="13" customWidth="1"/>
    <col min="519" max="519" width="10.6640625" style="13" customWidth="1"/>
    <col min="520" max="520" width="9.6640625" style="13" customWidth="1"/>
    <col min="521" max="521" width="10" style="13" customWidth="1"/>
    <col min="522" max="522" width="11.5" style="13" customWidth="1"/>
    <col min="523" max="523" width="10.1640625" style="13" customWidth="1"/>
    <col min="524" max="768" width="8.83203125" style="13"/>
    <col min="769" max="769" width="26.6640625" style="13" customWidth="1"/>
    <col min="770" max="770" width="12.6640625" style="13" bestFit="1" customWidth="1"/>
    <col min="771" max="771" width="4.83203125" style="13" customWidth="1"/>
    <col min="772" max="773" width="10.33203125" style="13" bestFit="1" customWidth="1"/>
    <col min="774" max="774" width="9.83203125" style="13" customWidth="1"/>
    <col min="775" max="775" width="10.6640625" style="13" customWidth="1"/>
    <col min="776" max="776" width="9.6640625" style="13" customWidth="1"/>
    <col min="777" max="777" width="10" style="13" customWidth="1"/>
    <col min="778" max="778" width="11.5" style="13" customWidth="1"/>
    <col min="779" max="779" width="10.1640625" style="13" customWidth="1"/>
    <col min="780" max="1024" width="8.83203125" style="13"/>
    <col min="1025" max="1025" width="26.6640625" style="13" customWidth="1"/>
    <col min="1026" max="1026" width="12.6640625" style="13" bestFit="1" customWidth="1"/>
    <col min="1027" max="1027" width="4.83203125" style="13" customWidth="1"/>
    <col min="1028" max="1029" width="10.33203125" style="13" bestFit="1" customWidth="1"/>
    <col min="1030" max="1030" width="9.83203125" style="13" customWidth="1"/>
    <col min="1031" max="1031" width="10.6640625" style="13" customWidth="1"/>
    <col min="1032" max="1032" width="9.6640625" style="13" customWidth="1"/>
    <col min="1033" max="1033" width="10" style="13" customWidth="1"/>
    <col min="1034" max="1034" width="11.5" style="13" customWidth="1"/>
    <col min="1035" max="1035" width="10.1640625" style="13" customWidth="1"/>
    <col min="1036" max="1280" width="8.83203125" style="13"/>
    <col min="1281" max="1281" width="26.6640625" style="13" customWidth="1"/>
    <col min="1282" max="1282" width="12.6640625" style="13" bestFit="1" customWidth="1"/>
    <col min="1283" max="1283" width="4.83203125" style="13" customWidth="1"/>
    <col min="1284" max="1285" width="10.33203125" style="13" bestFit="1" customWidth="1"/>
    <col min="1286" max="1286" width="9.83203125" style="13" customWidth="1"/>
    <col min="1287" max="1287" width="10.6640625" style="13" customWidth="1"/>
    <col min="1288" max="1288" width="9.6640625" style="13" customWidth="1"/>
    <col min="1289" max="1289" width="10" style="13" customWidth="1"/>
    <col min="1290" max="1290" width="11.5" style="13" customWidth="1"/>
    <col min="1291" max="1291" width="10.1640625" style="13" customWidth="1"/>
    <col min="1292" max="1536" width="8.83203125" style="13"/>
    <col min="1537" max="1537" width="26.6640625" style="13" customWidth="1"/>
    <col min="1538" max="1538" width="12.6640625" style="13" bestFit="1" customWidth="1"/>
    <col min="1539" max="1539" width="4.83203125" style="13" customWidth="1"/>
    <col min="1540" max="1541" width="10.33203125" style="13" bestFit="1" customWidth="1"/>
    <col min="1542" max="1542" width="9.83203125" style="13" customWidth="1"/>
    <col min="1543" max="1543" width="10.6640625" style="13" customWidth="1"/>
    <col min="1544" max="1544" width="9.6640625" style="13" customWidth="1"/>
    <col min="1545" max="1545" width="10" style="13" customWidth="1"/>
    <col min="1546" max="1546" width="11.5" style="13" customWidth="1"/>
    <col min="1547" max="1547" width="10.1640625" style="13" customWidth="1"/>
    <col min="1548" max="1792" width="8.83203125" style="13"/>
    <col min="1793" max="1793" width="26.6640625" style="13" customWidth="1"/>
    <col min="1794" max="1794" width="12.6640625" style="13" bestFit="1" customWidth="1"/>
    <col min="1795" max="1795" width="4.83203125" style="13" customWidth="1"/>
    <col min="1796" max="1797" width="10.33203125" style="13" bestFit="1" customWidth="1"/>
    <col min="1798" max="1798" width="9.83203125" style="13" customWidth="1"/>
    <col min="1799" max="1799" width="10.6640625" style="13" customWidth="1"/>
    <col min="1800" max="1800" width="9.6640625" style="13" customWidth="1"/>
    <col min="1801" max="1801" width="10" style="13" customWidth="1"/>
    <col min="1802" max="1802" width="11.5" style="13" customWidth="1"/>
    <col min="1803" max="1803" width="10.1640625" style="13" customWidth="1"/>
    <col min="1804" max="2048" width="8.83203125" style="13"/>
    <col min="2049" max="2049" width="26.6640625" style="13" customWidth="1"/>
    <col min="2050" max="2050" width="12.6640625" style="13" bestFit="1" customWidth="1"/>
    <col min="2051" max="2051" width="4.83203125" style="13" customWidth="1"/>
    <col min="2052" max="2053" width="10.33203125" style="13" bestFit="1" customWidth="1"/>
    <col min="2054" max="2054" width="9.83203125" style="13" customWidth="1"/>
    <col min="2055" max="2055" width="10.6640625" style="13" customWidth="1"/>
    <col min="2056" max="2056" width="9.6640625" style="13" customWidth="1"/>
    <col min="2057" max="2057" width="10" style="13" customWidth="1"/>
    <col min="2058" max="2058" width="11.5" style="13" customWidth="1"/>
    <col min="2059" max="2059" width="10.1640625" style="13" customWidth="1"/>
    <col min="2060" max="2304" width="8.83203125" style="13"/>
    <col min="2305" max="2305" width="26.6640625" style="13" customWidth="1"/>
    <col min="2306" max="2306" width="12.6640625" style="13" bestFit="1" customWidth="1"/>
    <col min="2307" max="2307" width="4.83203125" style="13" customWidth="1"/>
    <col min="2308" max="2309" width="10.33203125" style="13" bestFit="1" customWidth="1"/>
    <col min="2310" max="2310" width="9.83203125" style="13" customWidth="1"/>
    <col min="2311" max="2311" width="10.6640625" style="13" customWidth="1"/>
    <col min="2312" max="2312" width="9.6640625" style="13" customWidth="1"/>
    <col min="2313" max="2313" width="10" style="13" customWidth="1"/>
    <col min="2314" max="2314" width="11.5" style="13" customWidth="1"/>
    <col min="2315" max="2315" width="10.1640625" style="13" customWidth="1"/>
    <col min="2316" max="2560" width="8.83203125" style="13"/>
    <col min="2561" max="2561" width="26.6640625" style="13" customWidth="1"/>
    <col min="2562" max="2562" width="12.6640625" style="13" bestFit="1" customWidth="1"/>
    <col min="2563" max="2563" width="4.83203125" style="13" customWidth="1"/>
    <col min="2564" max="2565" width="10.33203125" style="13" bestFit="1" customWidth="1"/>
    <col min="2566" max="2566" width="9.83203125" style="13" customWidth="1"/>
    <col min="2567" max="2567" width="10.6640625" style="13" customWidth="1"/>
    <col min="2568" max="2568" width="9.6640625" style="13" customWidth="1"/>
    <col min="2569" max="2569" width="10" style="13" customWidth="1"/>
    <col min="2570" max="2570" width="11.5" style="13" customWidth="1"/>
    <col min="2571" max="2571" width="10.1640625" style="13" customWidth="1"/>
    <col min="2572" max="2816" width="8.83203125" style="13"/>
    <col min="2817" max="2817" width="26.6640625" style="13" customWidth="1"/>
    <col min="2818" max="2818" width="12.6640625" style="13" bestFit="1" customWidth="1"/>
    <col min="2819" max="2819" width="4.83203125" style="13" customWidth="1"/>
    <col min="2820" max="2821" width="10.33203125" style="13" bestFit="1" customWidth="1"/>
    <col min="2822" max="2822" width="9.83203125" style="13" customWidth="1"/>
    <col min="2823" max="2823" width="10.6640625" style="13" customWidth="1"/>
    <col min="2824" max="2824" width="9.6640625" style="13" customWidth="1"/>
    <col min="2825" max="2825" width="10" style="13" customWidth="1"/>
    <col min="2826" max="2826" width="11.5" style="13" customWidth="1"/>
    <col min="2827" max="2827" width="10.1640625" style="13" customWidth="1"/>
    <col min="2828" max="3072" width="8.83203125" style="13"/>
    <col min="3073" max="3073" width="26.6640625" style="13" customWidth="1"/>
    <col min="3074" max="3074" width="12.6640625" style="13" bestFit="1" customWidth="1"/>
    <col min="3075" max="3075" width="4.83203125" style="13" customWidth="1"/>
    <col min="3076" max="3077" width="10.33203125" style="13" bestFit="1" customWidth="1"/>
    <col min="3078" max="3078" width="9.83203125" style="13" customWidth="1"/>
    <col min="3079" max="3079" width="10.6640625" style="13" customWidth="1"/>
    <col min="3080" max="3080" width="9.6640625" style="13" customWidth="1"/>
    <col min="3081" max="3081" width="10" style="13" customWidth="1"/>
    <col min="3082" max="3082" width="11.5" style="13" customWidth="1"/>
    <col min="3083" max="3083" width="10.1640625" style="13" customWidth="1"/>
    <col min="3084" max="3328" width="8.83203125" style="13"/>
    <col min="3329" max="3329" width="26.6640625" style="13" customWidth="1"/>
    <col min="3330" max="3330" width="12.6640625" style="13" bestFit="1" customWidth="1"/>
    <col min="3331" max="3331" width="4.83203125" style="13" customWidth="1"/>
    <col min="3332" max="3333" width="10.33203125" style="13" bestFit="1" customWidth="1"/>
    <col min="3334" max="3334" width="9.83203125" style="13" customWidth="1"/>
    <col min="3335" max="3335" width="10.6640625" style="13" customWidth="1"/>
    <col min="3336" max="3336" width="9.6640625" style="13" customWidth="1"/>
    <col min="3337" max="3337" width="10" style="13" customWidth="1"/>
    <col min="3338" max="3338" width="11.5" style="13" customWidth="1"/>
    <col min="3339" max="3339" width="10.1640625" style="13" customWidth="1"/>
    <col min="3340" max="3584" width="8.83203125" style="13"/>
    <col min="3585" max="3585" width="26.6640625" style="13" customWidth="1"/>
    <col min="3586" max="3586" width="12.6640625" style="13" bestFit="1" customWidth="1"/>
    <col min="3587" max="3587" width="4.83203125" style="13" customWidth="1"/>
    <col min="3588" max="3589" width="10.33203125" style="13" bestFit="1" customWidth="1"/>
    <col min="3590" max="3590" width="9.83203125" style="13" customWidth="1"/>
    <col min="3591" max="3591" width="10.6640625" style="13" customWidth="1"/>
    <col min="3592" max="3592" width="9.6640625" style="13" customWidth="1"/>
    <col min="3593" max="3593" width="10" style="13" customWidth="1"/>
    <col min="3594" max="3594" width="11.5" style="13" customWidth="1"/>
    <col min="3595" max="3595" width="10.1640625" style="13" customWidth="1"/>
    <col min="3596" max="3840" width="8.83203125" style="13"/>
    <col min="3841" max="3841" width="26.6640625" style="13" customWidth="1"/>
    <col min="3842" max="3842" width="12.6640625" style="13" bestFit="1" customWidth="1"/>
    <col min="3843" max="3843" width="4.83203125" style="13" customWidth="1"/>
    <col min="3844" max="3845" width="10.33203125" style="13" bestFit="1" customWidth="1"/>
    <col min="3846" max="3846" width="9.83203125" style="13" customWidth="1"/>
    <col min="3847" max="3847" width="10.6640625" style="13" customWidth="1"/>
    <col min="3848" max="3848" width="9.6640625" style="13" customWidth="1"/>
    <col min="3849" max="3849" width="10" style="13" customWidth="1"/>
    <col min="3850" max="3850" width="11.5" style="13" customWidth="1"/>
    <col min="3851" max="3851" width="10.1640625" style="13" customWidth="1"/>
    <col min="3852" max="4096" width="8.83203125" style="13"/>
    <col min="4097" max="4097" width="26.6640625" style="13" customWidth="1"/>
    <col min="4098" max="4098" width="12.6640625" style="13" bestFit="1" customWidth="1"/>
    <col min="4099" max="4099" width="4.83203125" style="13" customWidth="1"/>
    <col min="4100" max="4101" width="10.33203125" style="13" bestFit="1" customWidth="1"/>
    <col min="4102" max="4102" width="9.83203125" style="13" customWidth="1"/>
    <col min="4103" max="4103" width="10.6640625" style="13" customWidth="1"/>
    <col min="4104" max="4104" width="9.6640625" style="13" customWidth="1"/>
    <col min="4105" max="4105" width="10" style="13" customWidth="1"/>
    <col min="4106" max="4106" width="11.5" style="13" customWidth="1"/>
    <col min="4107" max="4107" width="10.1640625" style="13" customWidth="1"/>
    <col min="4108" max="4352" width="8.83203125" style="13"/>
    <col min="4353" max="4353" width="26.6640625" style="13" customWidth="1"/>
    <col min="4354" max="4354" width="12.6640625" style="13" bestFit="1" customWidth="1"/>
    <col min="4355" max="4355" width="4.83203125" style="13" customWidth="1"/>
    <col min="4356" max="4357" width="10.33203125" style="13" bestFit="1" customWidth="1"/>
    <col min="4358" max="4358" width="9.83203125" style="13" customWidth="1"/>
    <col min="4359" max="4359" width="10.6640625" style="13" customWidth="1"/>
    <col min="4360" max="4360" width="9.6640625" style="13" customWidth="1"/>
    <col min="4361" max="4361" width="10" style="13" customWidth="1"/>
    <col min="4362" max="4362" width="11.5" style="13" customWidth="1"/>
    <col min="4363" max="4363" width="10.1640625" style="13" customWidth="1"/>
    <col min="4364" max="4608" width="8.83203125" style="13"/>
    <col min="4609" max="4609" width="26.6640625" style="13" customWidth="1"/>
    <col min="4610" max="4610" width="12.6640625" style="13" bestFit="1" customWidth="1"/>
    <col min="4611" max="4611" width="4.83203125" style="13" customWidth="1"/>
    <col min="4612" max="4613" width="10.33203125" style="13" bestFit="1" customWidth="1"/>
    <col min="4614" max="4614" width="9.83203125" style="13" customWidth="1"/>
    <col min="4615" max="4615" width="10.6640625" style="13" customWidth="1"/>
    <col min="4616" max="4616" width="9.6640625" style="13" customWidth="1"/>
    <col min="4617" max="4617" width="10" style="13" customWidth="1"/>
    <col min="4618" max="4618" width="11.5" style="13" customWidth="1"/>
    <col min="4619" max="4619" width="10.1640625" style="13" customWidth="1"/>
    <col min="4620" max="4864" width="8.83203125" style="13"/>
    <col min="4865" max="4865" width="26.6640625" style="13" customWidth="1"/>
    <col min="4866" max="4866" width="12.6640625" style="13" bestFit="1" customWidth="1"/>
    <col min="4867" max="4867" width="4.83203125" style="13" customWidth="1"/>
    <col min="4868" max="4869" width="10.33203125" style="13" bestFit="1" customWidth="1"/>
    <col min="4870" max="4870" width="9.83203125" style="13" customWidth="1"/>
    <col min="4871" max="4871" width="10.6640625" style="13" customWidth="1"/>
    <col min="4872" max="4872" width="9.6640625" style="13" customWidth="1"/>
    <col min="4873" max="4873" width="10" style="13" customWidth="1"/>
    <col min="4874" max="4874" width="11.5" style="13" customWidth="1"/>
    <col min="4875" max="4875" width="10.1640625" style="13" customWidth="1"/>
    <col min="4876" max="5120" width="8.83203125" style="13"/>
    <col min="5121" max="5121" width="26.6640625" style="13" customWidth="1"/>
    <col min="5122" max="5122" width="12.6640625" style="13" bestFit="1" customWidth="1"/>
    <col min="5123" max="5123" width="4.83203125" style="13" customWidth="1"/>
    <col min="5124" max="5125" width="10.33203125" style="13" bestFit="1" customWidth="1"/>
    <col min="5126" max="5126" width="9.83203125" style="13" customWidth="1"/>
    <col min="5127" max="5127" width="10.6640625" style="13" customWidth="1"/>
    <col min="5128" max="5128" width="9.6640625" style="13" customWidth="1"/>
    <col min="5129" max="5129" width="10" style="13" customWidth="1"/>
    <col min="5130" max="5130" width="11.5" style="13" customWidth="1"/>
    <col min="5131" max="5131" width="10.1640625" style="13" customWidth="1"/>
    <col min="5132" max="5376" width="8.83203125" style="13"/>
    <col min="5377" max="5377" width="26.6640625" style="13" customWidth="1"/>
    <col min="5378" max="5378" width="12.6640625" style="13" bestFit="1" customWidth="1"/>
    <col min="5379" max="5379" width="4.83203125" style="13" customWidth="1"/>
    <col min="5380" max="5381" width="10.33203125" style="13" bestFit="1" customWidth="1"/>
    <col min="5382" max="5382" width="9.83203125" style="13" customWidth="1"/>
    <col min="5383" max="5383" width="10.6640625" style="13" customWidth="1"/>
    <col min="5384" max="5384" width="9.6640625" style="13" customWidth="1"/>
    <col min="5385" max="5385" width="10" style="13" customWidth="1"/>
    <col min="5386" max="5386" width="11.5" style="13" customWidth="1"/>
    <col min="5387" max="5387" width="10.1640625" style="13" customWidth="1"/>
    <col min="5388" max="5632" width="8.83203125" style="13"/>
    <col min="5633" max="5633" width="26.6640625" style="13" customWidth="1"/>
    <col min="5634" max="5634" width="12.6640625" style="13" bestFit="1" customWidth="1"/>
    <col min="5635" max="5635" width="4.83203125" style="13" customWidth="1"/>
    <col min="5636" max="5637" width="10.33203125" style="13" bestFit="1" customWidth="1"/>
    <col min="5638" max="5638" width="9.83203125" style="13" customWidth="1"/>
    <col min="5639" max="5639" width="10.6640625" style="13" customWidth="1"/>
    <col min="5640" max="5640" width="9.6640625" style="13" customWidth="1"/>
    <col min="5641" max="5641" width="10" style="13" customWidth="1"/>
    <col min="5642" max="5642" width="11.5" style="13" customWidth="1"/>
    <col min="5643" max="5643" width="10.1640625" style="13" customWidth="1"/>
    <col min="5644" max="5888" width="8.83203125" style="13"/>
    <col min="5889" max="5889" width="26.6640625" style="13" customWidth="1"/>
    <col min="5890" max="5890" width="12.6640625" style="13" bestFit="1" customWidth="1"/>
    <col min="5891" max="5891" width="4.83203125" style="13" customWidth="1"/>
    <col min="5892" max="5893" width="10.33203125" style="13" bestFit="1" customWidth="1"/>
    <col min="5894" max="5894" width="9.83203125" style="13" customWidth="1"/>
    <col min="5895" max="5895" width="10.6640625" style="13" customWidth="1"/>
    <col min="5896" max="5896" width="9.6640625" style="13" customWidth="1"/>
    <col min="5897" max="5897" width="10" style="13" customWidth="1"/>
    <col min="5898" max="5898" width="11.5" style="13" customWidth="1"/>
    <col min="5899" max="5899" width="10.1640625" style="13" customWidth="1"/>
    <col min="5900" max="6144" width="8.83203125" style="13"/>
    <col min="6145" max="6145" width="26.6640625" style="13" customWidth="1"/>
    <col min="6146" max="6146" width="12.6640625" style="13" bestFit="1" customWidth="1"/>
    <col min="6147" max="6147" width="4.83203125" style="13" customWidth="1"/>
    <col min="6148" max="6149" width="10.33203125" style="13" bestFit="1" customWidth="1"/>
    <col min="6150" max="6150" width="9.83203125" style="13" customWidth="1"/>
    <col min="6151" max="6151" width="10.6640625" style="13" customWidth="1"/>
    <col min="6152" max="6152" width="9.6640625" style="13" customWidth="1"/>
    <col min="6153" max="6153" width="10" style="13" customWidth="1"/>
    <col min="6154" max="6154" width="11.5" style="13" customWidth="1"/>
    <col min="6155" max="6155" width="10.1640625" style="13" customWidth="1"/>
    <col min="6156" max="6400" width="8.83203125" style="13"/>
    <col min="6401" max="6401" width="26.6640625" style="13" customWidth="1"/>
    <col min="6402" max="6402" width="12.6640625" style="13" bestFit="1" customWidth="1"/>
    <col min="6403" max="6403" width="4.83203125" style="13" customWidth="1"/>
    <col min="6404" max="6405" width="10.33203125" style="13" bestFit="1" customWidth="1"/>
    <col min="6406" max="6406" width="9.83203125" style="13" customWidth="1"/>
    <col min="6407" max="6407" width="10.6640625" style="13" customWidth="1"/>
    <col min="6408" max="6408" width="9.6640625" style="13" customWidth="1"/>
    <col min="6409" max="6409" width="10" style="13" customWidth="1"/>
    <col min="6410" max="6410" width="11.5" style="13" customWidth="1"/>
    <col min="6411" max="6411" width="10.1640625" style="13" customWidth="1"/>
    <col min="6412" max="6656" width="8.83203125" style="13"/>
    <col min="6657" max="6657" width="26.6640625" style="13" customWidth="1"/>
    <col min="6658" max="6658" width="12.6640625" style="13" bestFit="1" customWidth="1"/>
    <col min="6659" max="6659" width="4.83203125" style="13" customWidth="1"/>
    <col min="6660" max="6661" width="10.33203125" style="13" bestFit="1" customWidth="1"/>
    <col min="6662" max="6662" width="9.83203125" style="13" customWidth="1"/>
    <col min="6663" max="6663" width="10.6640625" style="13" customWidth="1"/>
    <col min="6664" max="6664" width="9.6640625" style="13" customWidth="1"/>
    <col min="6665" max="6665" width="10" style="13" customWidth="1"/>
    <col min="6666" max="6666" width="11.5" style="13" customWidth="1"/>
    <col min="6667" max="6667" width="10.1640625" style="13" customWidth="1"/>
    <col min="6668" max="6912" width="8.83203125" style="13"/>
    <col min="6913" max="6913" width="26.6640625" style="13" customWidth="1"/>
    <col min="6914" max="6914" width="12.6640625" style="13" bestFit="1" customWidth="1"/>
    <col min="6915" max="6915" width="4.83203125" style="13" customWidth="1"/>
    <col min="6916" max="6917" width="10.33203125" style="13" bestFit="1" customWidth="1"/>
    <col min="6918" max="6918" width="9.83203125" style="13" customWidth="1"/>
    <col min="6919" max="6919" width="10.6640625" style="13" customWidth="1"/>
    <col min="6920" max="6920" width="9.6640625" style="13" customWidth="1"/>
    <col min="6921" max="6921" width="10" style="13" customWidth="1"/>
    <col min="6922" max="6922" width="11.5" style="13" customWidth="1"/>
    <col min="6923" max="6923" width="10.1640625" style="13" customWidth="1"/>
    <col min="6924" max="7168" width="8.83203125" style="13"/>
    <col min="7169" max="7169" width="26.6640625" style="13" customWidth="1"/>
    <col min="7170" max="7170" width="12.6640625" style="13" bestFit="1" customWidth="1"/>
    <col min="7171" max="7171" width="4.83203125" style="13" customWidth="1"/>
    <col min="7172" max="7173" width="10.33203125" style="13" bestFit="1" customWidth="1"/>
    <col min="7174" max="7174" width="9.83203125" style="13" customWidth="1"/>
    <col min="7175" max="7175" width="10.6640625" style="13" customWidth="1"/>
    <col min="7176" max="7176" width="9.6640625" style="13" customWidth="1"/>
    <col min="7177" max="7177" width="10" style="13" customWidth="1"/>
    <col min="7178" max="7178" width="11.5" style="13" customWidth="1"/>
    <col min="7179" max="7179" width="10.1640625" style="13" customWidth="1"/>
    <col min="7180" max="7424" width="8.83203125" style="13"/>
    <col min="7425" max="7425" width="26.6640625" style="13" customWidth="1"/>
    <col min="7426" max="7426" width="12.6640625" style="13" bestFit="1" customWidth="1"/>
    <col min="7427" max="7427" width="4.83203125" style="13" customWidth="1"/>
    <col min="7428" max="7429" width="10.33203125" style="13" bestFit="1" customWidth="1"/>
    <col min="7430" max="7430" width="9.83203125" style="13" customWidth="1"/>
    <col min="7431" max="7431" width="10.6640625" style="13" customWidth="1"/>
    <col min="7432" max="7432" width="9.6640625" style="13" customWidth="1"/>
    <col min="7433" max="7433" width="10" style="13" customWidth="1"/>
    <col min="7434" max="7434" width="11.5" style="13" customWidth="1"/>
    <col min="7435" max="7435" width="10.1640625" style="13" customWidth="1"/>
    <col min="7436" max="7680" width="8.83203125" style="13"/>
    <col min="7681" max="7681" width="26.6640625" style="13" customWidth="1"/>
    <col min="7682" max="7682" width="12.6640625" style="13" bestFit="1" customWidth="1"/>
    <col min="7683" max="7683" width="4.83203125" style="13" customWidth="1"/>
    <col min="7684" max="7685" width="10.33203125" style="13" bestFit="1" customWidth="1"/>
    <col min="7686" max="7686" width="9.83203125" style="13" customWidth="1"/>
    <col min="7687" max="7687" width="10.6640625" style="13" customWidth="1"/>
    <col min="7688" max="7688" width="9.6640625" style="13" customWidth="1"/>
    <col min="7689" max="7689" width="10" style="13" customWidth="1"/>
    <col min="7690" max="7690" width="11.5" style="13" customWidth="1"/>
    <col min="7691" max="7691" width="10.1640625" style="13" customWidth="1"/>
    <col min="7692" max="7936" width="8.83203125" style="13"/>
    <col min="7937" max="7937" width="26.6640625" style="13" customWidth="1"/>
    <col min="7938" max="7938" width="12.6640625" style="13" bestFit="1" customWidth="1"/>
    <col min="7939" max="7939" width="4.83203125" style="13" customWidth="1"/>
    <col min="7940" max="7941" width="10.33203125" style="13" bestFit="1" customWidth="1"/>
    <col min="7942" max="7942" width="9.83203125" style="13" customWidth="1"/>
    <col min="7943" max="7943" width="10.6640625" style="13" customWidth="1"/>
    <col min="7944" max="7944" width="9.6640625" style="13" customWidth="1"/>
    <col min="7945" max="7945" width="10" style="13" customWidth="1"/>
    <col min="7946" max="7946" width="11.5" style="13" customWidth="1"/>
    <col min="7947" max="7947" width="10.1640625" style="13" customWidth="1"/>
    <col min="7948" max="8192" width="8.83203125" style="13"/>
    <col min="8193" max="8193" width="26.6640625" style="13" customWidth="1"/>
    <col min="8194" max="8194" width="12.6640625" style="13" bestFit="1" customWidth="1"/>
    <col min="8195" max="8195" width="4.83203125" style="13" customWidth="1"/>
    <col min="8196" max="8197" width="10.33203125" style="13" bestFit="1" customWidth="1"/>
    <col min="8198" max="8198" width="9.83203125" style="13" customWidth="1"/>
    <col min="8199" max="8199" width="10.6640625" style="13" customWidth="1"/>
    <col min="8200" max="8200" width="9.6640625" style="13" customWidth="1"/>
    <col min="8201" max="8201" width="10" style="13" customWidth="1"/>
    <col min="8202" max="8202" width="11.5" style="13" customWidth="1"/>
    <col min="8203" max="8203" width="10.1640625" style="13" customWidth="1"/>
    <col min="8204" max="8448" width="8.83203125" style="13"/>
    <col min="8449" max="8449" width="26.6640625" style="13" customWidth="1"/>
    <col min="8450" max="8450" width="12.6640625" style="13" bestFit="1" customWidth="1"/>
    <col min="8451" max="8451" width="4.83203125" style="13" customWidth="1"/>
    <col min="8452" max="8453" width="10.33203125" style="13" bestFit="1" customWidth="1"/>
    <col min="8454" max="8454" width="9.83203125" style="13" customWidth="1"/>
    <col min="8455" max="8455" width="10.6640625" style="13" customWidth="1"/>
    <col min="8456" max="8456" width="9.6640625" style="13" customWidth="1"/>
    <col min="8457" max="8457" width="10" style="13" customWidth="1"/>
    <col min="8458" max="8458" width="11.5" style="13" customWidth="1"/>
    <col min="8459" max="8459" width="10.1640625" style="13" customWidth="1"/>
    <col min="8460" max="8704" width="8.83203125" style="13"/>
    <col min="8705" max="8705" width="26.6640625" style="13" customWidth="1"/>
    <col min="8706" max="8706" width="12.6640625" style="13" bestFit="1" customWidth="1"/>
    <col min="8707" max="8707" width="4.83203125" style="13" customWidth="1"/>
    <col min="8708" max="8709" width="10.33203125" style="13" bestFit="1" customWidth="1"/>
    <col min="8710" max="8710" width="9.83203125" style="13" customWidth="1"/>
    <col min="8711" max="8711" width="10.6640625" style="13" customWidth="1"/>
    <col min="8712" max="8712" width="9.6640625" style="13" customWidth="1"/>
    <col min="8713" max="8713" width="10" style="13" customWidth="1"/>
    <col min="8714" max="8714" width="11.5" style="13" customWidth="1"/>
    <col min="8715" max="8715" width="10.1640625" style="13" customWidth="1"/>
    <col min="8716" max="8960" width="8.83203125" style="13"/>
    <col min="8961" max="8961" width="26.6640625" style="13" customWidth="1"/>
    <col min="8962" max="8962" width="12.6640625" style="13" bestFit="1" customWidth="1"/>
    <col min="8963" max="8963" width="4.83203125" style="13" customWidth="1"/>
    <col min="8964" max="8965" width="10.33203125" style="13" bestFit="1" customWidth="1"/>
    <col min="8966" max="8966" width="9.83203125" style="13" customWidth="1"/>
    <col min="8967" max="8967" width="10.6640625" style="13" customWidth="1"/>
    <col min="8968" max="8968" width="9.6640625" style="13" customWidth="1"/>
    <col min="8969" max="8969" width="10" style="13" customWidth="1"/>
    <col min="8970" max="8970" width="11.5" style="13" customWidth="1"/>
    <col min="8971" max="8971" width="10.1640625" style="13" customWidth="1"/>
    <col min="8972" max="9216" width="8.83203125" style="13"/>
    <col min="9217" max="9217" width="26.6640625" style="13" customWidth="1"/>
    <col min="9218" max="9218" width="12.6640625" style="13" bestFit="1" customWidth="1"/>
    <col min="9219" max="9219" width="4.83203125" style="13" customWidth="1"/>
    <col min="9220" max="9221" width="10.33203125" style="13" bestFit="1" customWidth="1"/>
    <col min="9222" max="9222" width="9.83203125" style="13" customWidth="1"/>
    <col min="9223" max="9223" width="10.6640625" style="13" customWidth="1"/>
    <col min="9224" max="9224" width="9.6640625" style="13" customWidth="1"/>
    <col min="9225" max="9225" width="10" style="13" customWidth="1"/>
    <col min="9226" max="9226" width="11.5" style="13" customWidth="1"/>
    <col min="9227" max="9227" width="10.1640625" style="13" customWidth="1"/>
    <col min="9228" max="9472" width="8.83203125" style="13"/>
    <col min="9473" max="9473" width="26.6640625" style="13" customWidth="1"/>
    <col min="9474" max="9474" width="12.6640625" style="13" bestFit="1" customWidth="1"/>
    <col min="9475" max="9475" width="4.83203125" style="13" customWidth="1"/>
    <col min="9476" max="9477" width="10.33203125" style="13" bestFit="1" customWidth="1"/>
    <col min="9478" max="9478" width="9.83203125" style="13" customWidth="1"/>
    <col min="9479" max="9479" width="10.6640625" style="13" customWidth="1"/>
    <col min="9480" max="9480" width="9.6640625" style="13" customWidth="1"/>
    <col min="9481" max="9481" width="10" style="13" customWidth="1"/>
    <col min="9482" max="9482" width="11.5" style="13" customWidth="1"/>
    <col min="9483" max="9483" width="10.1640625" style="13" customWidth="1"/>
    <col min="9484" max="9728" width="8.83203125" style="13"/>
    <col min="9729" max="9729" width="26.6640625" style="13" customWidth="1"/>
    <col min="9730" max="9730" width="12.6640625" style="13" bestFit="1" customWidth="1"/>
    <col min="9731" max="9731" width="4.83203125" style="13" customWidth="1"/>
    <col min="9732" max="9733" width="10.33203125" style="13" bestFit="1" customWidth="1"/>
    <col min="9734" max="9734" width="9.83203125" style="13" customWidth="1"/>
    <col min="9735" max="9735" width="10.6640625" style="13" customWidth="1"/>
    <col min="9736" max="9736" width="9.6640625" style="13" customWidth="1"/>
    <col min="9737" max="9737" width="10" style="13" customWidth="1"/>
    <col min="9738" max="9738" width="11.5" style="13" customWidth="1"/>
    <col min="9739" max="9739" width="10.1640625" style="13" customWidth="1"/>
    <col min="9740" max="9984" width="8.83203125" style="13"/>
    <col min="9985" max="9985" width="26.6640625" style="13" customWidth="1"/>
    <col min="9986" max="9986" width="12.6640625" style="13" bestFit="1" customWidth="1"/>
    <col min="9987" max="9987" width="4.83203125" style="13" customWidth="1"/>
    <col min="9988" max="9989" width="10.33203125" style="13" bestFit="1" customWidth="1"/>
    <col min="9990" max="9990" width="9.83203125" style="13" customWidth="1"/>
    <col min="9991" max="9991" width="10.6640625" style="13" customWidth="1"/>
    <col min="9992" max="9992" width="9.6640625" style="13" customWidth="1"/>
    <col min="9993" max="9993" width="10" style="13" customWidth="1"/>
    <col min="9994" max="9994" width="11.5" style="13" customWidth="1"/>
    <col min="9995" max="9995" width="10.1640625" style="13" customWidth="1"/>
    <col min="9996" max="10240" width="8.83203125" style="13"/>
    <col min="10241" max="10241" width="26.6640625" style="13" customWidth="1"/>
    <col min="10242" max="10242" width="12.6640625" style="13" bestFit="1" customWidth="1"/>
    <col min="10243" max="10243" width="4.83203125" style="13" customWidth="1"/>
    <col min="10244" max="10245" width="10.33203125" style="13" bestFit="1" customWidth="1"/>
    <col min="10246" max="10246" width="9.83203125" style="13" customWidth="1"/>
    <col min="10247" max="10247" width="10.6640625" style="13" customWidth="1"/>
    <col min="10248" max="10248" width="9.6640625" style="13" customWidth="1"/>
    <col min="10249" max="10249" width="10" style="13" customWidth="1"/>
    <col min="10250" max="10250" width="11.5" style="13" customWidth="1"/>
    <col min="10251" max="10251" width="10.1640625" style="13" customWidth="1"/>
    <col min="10252" max="10496" width="8.83203125" style="13"/>
    <col min="10497" max="10497" width="26.6640625" style="13" customWidth="1"/>
    <col min="10498" max="10498" width="12.6640625" style="13" bestFit="1" customWidth="1"/>
    <col min="10499" max="10499" width="4.83203125" style="13" customWidth="1"/>
    <col min="10500" max="10501" width="10.33203125" style="13" bestFit="1" customWidth="1"/>
    <col min="10502" max="10502" width="9.83203125" style="13" customWidth="1"/>
    <col min="10503" max="10503" width="10.6640625" style="13" customWidth="1"/>
    <col min="10504" max="10504" width="9.6640625" style="13" customWidth="1"/>
    <col min="10505" max="10505" width="10" style="13" customWidth="1"/>
    <col min="10506" max="10506" width="11.5" style="13" customWidth="1"/>
    <col min="10507" max="10507" width="10.1640625" style="13" customWidth="1"/>
    <col min="10508" max="10752" width="8.83203125" style="13"/>
    <col min="10753" max="10753" width="26.6640625" style="13" customWidth="1"/>
    <col min="10754" max="10754" width="12.6640625" style="13" bestFit="1" customWidth="1"/>
    <col min="10755" max="10755" width="4.83203125" style="13" customWidth="1"/>
    <col min="10756" max="10757" width="10.33203125" style="13" bestFit="1" customWidth="1"/>
    <col min="10758" max="10758" width="9.83203125" style="13" customWidth="1"/>
    <col min="10759" max="10759" width="10.6640625" style="13" customWidth="1"/>
    <col min="10760" max="10760" width="9.6640625" style="13" customWidth="1"/>
    <col min="10761" max="10761" width="10" style="13" customWidth="1"/>
    <col min="10762" max="10762" width="11.5" style="13" customWidth="1"/>
    <col min="10763" max="10763" width="10.1640625" style="13" customWidth="1"/>
    <col min="10764" max="11008" width="8.83203125" style="13"/>
    <col min="11009" max="11009" width="26.6640625" style="13" customWidth="1"/>
    <col min="11010" max="11010" width="12.6640625" style="13" bestFit="1" customWidth="1"/>
    <col min="11011" max="11011" width="4.83203125" style="13" customWidth="1"/>
    <col min="11012" max="11013" width="10.33203125" style="13" bestFit="1" customWidth="1"/>
    <col min="11014" max="11014" width="9.83203125" style="13" customWidth="1"/>
    <col min="11015" max="11015" width="10.6640625" style="13" customWidth="1"/>
    <col min="11016" max="11016" width="9.6640625" style="13" customWidth="1"/>
    <col min="11017" max="11017" width="10" style="13" customWidth="1"/>
    <col min="11018" max="11018" width="11.5" style="13" customWidth="1"/>
    <col min="11019" max="11019" width="10.1640625" style="13" customWidth="1"/>
    <col min="11020" max="11264" width="8.83203125" style="13"/>
    <col min="11265" max="11265" width="26.6640625" style="13" customWidth="1"/>
    <col min="11266" max="11266" width="12.6640625" style="13" bestFit="1" customWidth="1"/>
    <col min="11267" max="11267" width="4.83203125" style="13" customWidth="1"/>
    <col min="11268" max="11269" width="10.33203125" style="13" bestFit="1" customWidth="1"/>
    <col min="11270" max="11270" width="9.83203125" style="13" customWidth="1"/>
    <col min="11271" max="11271" width="10.6640625" style="13" customWidth="1"/>
    <col min="11272" max="11272" width="9.6640625" style="13" customWidth="1"/>
    <col min="11273" max="11273" width="10" style="13" customWidth="1"/>
    <col min="11274" max="11274" width="11.5" style="13" customWidth="1"/>
    <col min="11275" max="11275" width="10.1640625" style="13" customWidth="1"/>
    <col min="11276" max="11520" width="8.83203125" style="13"/>
    <col min="11521" max="11521" width="26.6640625" style="13" customWidth="1"/>
    <col min="11522" max="11522" width="12.6640625" style="13" bestFit="1" customWidth="1"/>
    <col min="11523" max="11523" width="4.83203125" style="13" customWidth="1"/>
    <col min="11524" max="11525" width="10.33203125" style="13" bestFit="1" customWidth="1"/>
    <col min="11526" max="11526" width="9.83203125" style="13" customWidth="1"/>
    <col min="11527" max="11527" width="10.6640625" style="13" customWidth="1"/>
    <col min="11528" max="11528" width="9.6640625" style="13" customWidth="1"/>
    <col min="11529" max="11529" width="10" style="13" customWidth="1"/>
    <col min="11530" max="11530" width="11.5" style="13" customWidth="1"/>
    <col min="11531" max="11531" width="10.1640625" style="13" customWidth="1"/>
    <col min="11532" max="11776" width="8.83203125" style="13"/>
    <col min="11777" max="11777" width="26.6640625" style="13" customWidth="1"/>
    <col min="11778" max="11778" width="12.6640625" style="13" bestFit="1" customWidth="1"/>
    <col min="11779" max="11779" width="4.83203125" style="13" customWidth="1"/>
    <col min="11780" max="11781" width="10.33203125" style="13" bestFit="1" customWidth="1"/>
    <col min="11782" max="11782" width="9.83203125" style="13" customWidth="1"/>
    <col min="11783" max="11783" width="10.6640625" style="13" customWidth="1"/>
    <col min="11784" max="11784" width="9.6640625" style="13" customWidth="1"/>
    <col min="11785" max="11785" width="10" style="13" customWidth="1"/>
    <col min="11786" max="11786" width="11.5" style="13" customWidth="1"/>
    <col min="11787" max="11787" width="10.1640625" style="13" customWidth="1"/>
    <col min="11788" max="12032" width="8.83203125" style="13"/>
    <col min="12033" max="12033" width="26.6640625" style="13" customWidth="1"/>
    <col min="12034" max="12034" width="12.6640625" style="13" bestFit="1" customWidth="1"/>
    <col min="12035" max="12035" width="4.83203125" style="13" customWidth="1"/>
    <col min="12036" max="12037" width="10.33203125" style="13" bestFit="1" customWidth="1"/>
    <col min="12038" max="12038" width="9.83203125" style="13" customWidth="1"/>
    <col min="12039" max="12039" width="10.6640625" style="13" customWidth="1"/>
    <col min="12040" max="12040" width="9.6640625" style="13" customWidth="1"/>
    <col min="12041" max="12041" width="10" style="13" customWidth="1"/>
    <col min="12042" max="12042" width="11.5" style="13" customWidth="1"/>
    <col min="12043" max="12043" width="10.1640625" style="13" customWidth="1"/>
    <col min="12044" max="12288" width="8.83203125" style="13"/>
    <col min="12289" max="12289" width="26.6640625" style="13" customWidth="1"/>
    <col min="12290" max="12290" width="12.6640625" style="13" bestFit="1" customWidth="1"/>
    <col min="12291" max="12291" width="4.83203125" style="13" customWidth="1"/>
    <col min="12292" max="12293" width="10.33203125" style="13" bestFit="1" customWidth="1"/>
    <col min="12294" max="12294" width="9.83203125" style="13" customWidth="1"/>
    <col min="12295" max="12295" width="10.6640625" style="13" customWidth="1"/>
    <col min="12296" max="12296" width="9.6640625" style="13" customWidth="1"/>
    <col min="12297" max="12297" width="10" style="13" customWidth="1"/>
    <col min="12298" max="12298" width="11.5" style="13" customWidth="1"/>
    <col min="12299" max="12299" width="10.1640625" style="13" customWidth="1"/>
    <col min="12300" max="12544" width="8.83203125" style="13"/>
    <col min="12545" max="12545" width="26.6640625" style="13" customWidth="1"/>
    <col min="12546" max="12546" width="12.6640625" style="13" bestFit="1" customWidth="1"/>
    <col min="12547" max="12547" width="4.83203125" style="13" customWidth="1"/>
    <col min="12548" max="12549" width="10.33203125" style="13" bestFit="1" customWidth="1"/>
    <col min="12550" max="12550" width="9.83203125" style="13" customWidth="1"/>
    <col min="12551" max="12551" width="10.6640625" style="13" customWidth="1"/>
    <col min="12552" max="12552" width="9.6640625" style="13" customWidth="1"/>
    <col min="12553" max="12553" width="10" style="13" customWidth="1"/>
    <col min="12554" max="12554" width="11.5" style="13" customWidth="1"/>
    <col min="12555" max="12555" width="10.1640625" style="13" customWidth="1"/>
    <col min="12556" max="12800" width="8.83203125" style="13"/>
    <col min="12801" max="12801" width="26.6640625" style="13" customWidth="1"/>
    <col min="12802" max="12802" width="12.6640625" style="13" bestFit="1" customWidth="1"/>
    <col min="12803" max="12803" width="4.83203125" style="13" customWidth="1"/>
    <col min="12804" max="12805" width="10.33203125" style="13" bestFit="1" customWidth="1"/>
    <col min="12806" max="12806" width="9.83203125" style="13" customWidth="1"/>
    <col min="12807" max="12807" width="10.6640625" style="13" customWidth="1"/>
    <col min="12808" max="12808" width="9.6640625" style="13" customWidth="1"/>
    <col min="12809" max="12809" width="10" style="13" customWidth="1"/>
    <col min="12810" max="12810" width="11.5" style="13" customWidth="1"/>
    <col min="12811" max="12811" width="10.1640625" style="13" customWidth="1"/>
    <col min="12812" max="13056" width="8.83203125" style="13"/>
    <col min="13057" max="13057" width="26.6640625" style="13" customWidth="1"/>
    <col min="13058" max="13058" width="12.6640625" style="13" bestFit="1" customWidth="1"/>
    <col min="13059" max="13059" width="4.83203125" style="13" customWidth="1"/>
    <col min="13060" max="13061" width="10.33203125" style="13" bestFit="1" customWidth="1"/>
    <col min="13062" max="13062" width="9.83203125" style="13" customWidth="1"/>
    <col min="13063" max="13063" width="10.6640625" style="13" customWidth="1"/>
    <col min="13064" max="13064" width="9.6640625" style="13" customWidth="1"/>
    <col min="13065" max="13065" width="10" style="13" customWidth="1"/>
    <col min="13066" max="13066" width="11.5" style="13" customWidth="1"/>
    <col min="13067" max="13067" width="10.1640625" style="13" customWidth="1"/>
    <col min="13068" max="13312" width="8.83203125" style="13"/>
    <col min="13313" max="13313" width="26.6640625" style="13" customWidth="1"/>
    <col min="13314" max="13314" width="12.6640625" style="13" bestFit="1" customWidth="1"/>
    <col min="13315" max="13315" width="4.83203125" style="13" customWidth="1"/>
    <col min="13316" max="13317" width="10.33203125" style="13" bestFit="1" customWidth="1"/>
    <col min="13318" max="13318" width="9.83203125" style="13" customWidth="1"/>
    <col min="13319" max="13319" width="10.6640625" style="13" customWidth="1"/>
    <col min="13320" max="13320" width="9.6640625" style="13" customWidth="1"/>
    <col min="13321" max="13321" width="10" style="13" customWidth="1"/>
    <col min="13322" max="13322" width="11.5" style="13" customWidth="1"/>
    <col min="13323" max="13323" width="10.1640625" style="13" customWidth="1"/>
    <col min="13324" max="13568" width="8.83203125" style="13"/>
    <col min="13569" max="13569" width="26.6640625" style="13" customWidth="1"/>
    <col min="13570" max="13570" width="12.6640625" style="13" bestFit="1" customWidth="1"/>
    <col min="13571" max="13571" width="4.83203125" style="13" customWidth="1"/>
    <col min="13572" max="13573" width="10.33203125" style="13" bestFit="1" customWidth="1"/>
    <col min="13574" max="13574" width="9.83203125" style="13" customWidth="1"/>
    <col min="13575" max="13575" width="10.6640625" style="13" customWidth="1"/>
    <col min="13576" max="13576" width="9.6640625" style="13" customWidth="1"/>
    <col min="13577" max="13577" width="10" style="13" customWidth="1"/>
    <col min="13578" max="13578" width="11.5" style="13" customWidth="1"/>
    <col min="13579" max="13579" width="10.1640625" style="13" customWidth="1"/>
    <col min="13580" max="13824" width="8.83203125" style="13"/>
    <col min="13825" max="13825" width="26.6640625" style="13" customWidth="1"/>
    <col min="13826" max="13826" width="12.6640625" style="13" bestFit="1" customWidth="1"/>
    <col min="13827" max="13827" width="4.83203125" style="13" customWidth="1"/>
    <col min="13828" max="13829" width="10.33203125" style="13" bestFit="1" customWidth="1"/>
    <col min="13830" max="13830" width="9.83203125" style="13" customWidth="1"/>
    <col min="13831" max="13831" width="10.6640625" style="13" customWidth="1"/>
    <col min="13832" max="13832" width="9.6640625" style="13" customWidth="1"/>
    <col min="13833" max="13833" width="10" style="13" customWidth="1"/>
    <col min="13834" max="13834" width="11.5" style="13" customWidth="1"/>
    <col min="13835" max="13835" width="10.1640625" style="13" customWidth="1"/>
    <col min="13836" max="14080" width="8.83203125" style="13"/>
    <col min="14081" max="14081" width="26.6640625" style="13" customWidth="1"/>
    <col min="14082" max="14082" width="12.6640625" style="13" bestFit="1" customWidth="1"/>
    <col min="14083" max="14083" width="4.83203125" style="13" customWidth="1"/>
    <col min="14084" max="14085" width="10.33203125" style="13" bestFit="1" customWidth="1"/>
    <col min="14086" max="14086" width="9.83203125" style="13" customWidth="1"/>
    <col min="14087" max="14087" width="10.6640625" style="13" customWidth="1"/>
    <col min="14088" max="14088" width="9.6640625" style="13" customWidth="1"/>
    <col min="14089" max="14089" width="10" style="13" customWidth="1"/>
    <col min="14090" max="14090" width="11.5" style="13" customWidth="1"/>
    <col min="14091" max="14091" width="10.1640625" style="13" customWidth="1"/>
    <col min="14092" max="14336" width="8.83203125" style="13"/>
    <col min="14337" max="14337" width="26.6640625" style="13" customWidth="1"/>
    <col min="14338" max="14338" width="12.6640625" style="13" bestFit="1" customWidth="1"/>
    <col min="14339" max="14339" width="4.83203125" style="13" customWidth="1"/>
    <col min="14340" max="14341" width="10.33203125" style="13" bestFit="1" customWidth="1"/>
    <col min="14342" max="14342" width="9.83203125" style="13" customWidth="1"/>
    <col min="14343" max="14343" width="10.6640625" style="13" customWidth="1"/>
    <col min="14344" max="14344" width="9.6640625" style="13" customWidth="1"/>
    <col min="14345" max="14345" width="10" style="13" customWidth="1"/>
    <col min="14346" max="14346" width="11.5" style="13" customWidth="1"/>
    <col min="14347" max="14347" width="10.1640625" style="13" customWidth="1"/>
    <col min="14348" max="14592" width="8.83203125" style="13"/>
    <col min="14593" max="14593" width="26.6640625" style="13" customWidth="1"/>
    <col min="14594" max="14594" width="12.6640625" style="13" bestFit="1" customWidth="1"/>
    <col min="14595" max="14595" width="4.83203125" style="13" customWidth="1"/>
    <col min="14596" max="14597" width="10.33203125" style="13" bestFit="1" customWidth="1"/>
    <col min="14598" max="14598" width="9.83203125" style="13" customWidth="1"/>
    <col min="14599" max="14599" width="10.6640625" style="13" customWidth="1"/>
    <col min="14600" max="14600" width="9.6640625" style="13" customWidth="1"/>
    <col min="14601" max="14601" width="10" style="13" customWidth="1"/>
    <col min="14602" max="14602" width="11.5" style="13" customWidth="1"/>
    <col min="14603" max="14603" width="10.1640625" style="13" customWidth="1"/>
    <col min="14604" max="14848" width="8.83203125" style="13"/>
    <col min="14849" max="14849" width="26.6640625" style="13" customWidth="1"/>
    <col min="14850" max="14850" width="12.6640625" style="13" bestFit="1" customWidth="1"/>
    <col min="14851" max="14851" width="4.83203125" style="13" customWidth="1"/>
    <col min="14852" max="14853" width="10.33203125" style="13" bestFit="1" customWidth="1"/>
    <col min="14854" max="14854" width="9.83203125" style="13" customWidth="1"/>
    <col min="14855" max="14855" width="10.6640625" style="13" customWidth="1"/>
    <col min="14856" max="14856" width="9.6640625" style="13" customWidth="1"/>
    <col min="14857" max="14857" width="10" style="13" customWidth="1"/>
    <col min="14858" max="14858" width="11.5" style="13" customWidth="1"/>
    <col min="14859" max="14859" width="10.1640625" style="13" customWidth="1"/>
    <col min="14860" max="15104" width="8.83203125" style="13"/>
    <col min="15105" max="15105" width="26.6640625" style="13" customWidth="1"/>
    <col min="15106" max="15106" width="12.6640625" style="13" bestFit="1" customWidth="1"/>
    <col min="15107" max="15107" width="4.83203125" style="13" customWidth="1"/>
    <col min="15108" max="15109" width="10.33203125" style="13" bestFit="1" customWidth="1"/>
    <col min="15110" max="15110" width="9.83203125" style="13" customWidth="1"/>
    <col min="15111" max="15111" width="10.6640625" style="13" customWidth="1"/>
    <col min="15112" max="15112" width="9.6640625" style="13" customWidth="1"/>
    <col min="15113" max="15113" width="10" style="13" customWidth="1"/>
    <col min="15114" max="15114" width="11.5" style="13" customWidth="1"/>
    <col min="15115" max="15115" width="10.1640625" style="13" customWidth="1"/>
    <col min="15116" max="15360" width="8.83203125" style="13"/>
    <col min="15361" max="15361" width="26.6640625" style="13" customWidth="1"/>
    <col min="15362" max="15362" width="12.6640625" style="13" bestFit="1" customWidth="1"/>
    <col min="15363" max="15363" width="4.83203125" style="13" customWidth="1"/>
    <col min="15364" max="15365" width="10.33203125" style="13" bestFit="1" customWidth="1"/>
    <col min="15366" max="15366" width="9.83203125" style="13" customWidth="1"/>
    <col min="15367" max="15367" width="10.6640625" style="13" customWidth="1"/>
    <col min="15368" max="15368" width="9.6640625" style="13" customWidth="1"/>
    <col min="15369" max="15369" width="10" style="13" customWidth="1"/>
    <col min="15370" max="15370" width="11.5" style="13" customWidth="1"/>
    <col min="15371" max="15371" width="10.1640625" style="13" customWidth="1"/>
    <col min="15372" max="15616" width="8.83203125" style="13"/>
    <col min="15617" max="15617" width="26.6640625" style="13" customWidth="1"/>
    <col min="15618" max="15618" width="12.6640625" style="13" bestFit="1" customWidth="1"/>
    <col min="15619" max="15619" width="4.83203125" style="13" customWidth="1"/>
    <col min="15620" max="15621" width="10.33203125" style="13" bestFit="1" customWidth="1"/>
    <col min="15622" max="15622" width="9.83203125" style="13" customWidth="1"/>
    <col min="15623" max="15623" width="10.6640625" style="13" customWidth="1"/>
    <col min="15624" max="15624" width="9.6640625" style="13" customWidth="1"/>
    <col min="15625" max="15625" width="10" style="13" customWidth="1"/>
    <col min="15626" max="15626" width="11.5" style="13" customWidth="1"/>
    <col min="15627" max="15627" width="10.1640625" style="13" customWidth="1"/>
    <col min="15628" max="15872" width="8.83203125" style="13"/>
    <col min="15873" max="15873" width="26.6640625" style="13" customWidth="1"/>
    <col min="15874" max="15874" width="12.6640625" style="13" bestFit="1" customWidth="1"/>
    <col min="15875" max="15875" width="4.83203125" style="13" customWidth="1"/>
    <col min="15876" max="15877" width="10.33203125" style="13" bestFit="1" customWidth="1"/>
    <col min="15878" max="15878" width="9.83203125" style="13" customWidth="1"/>
    <col min="15879" max="15879" width="10.6640625" style="13" customWidth="1"/>
    <col min="15880" max="15880" width="9.6640625" style="13" customWidth="1"/>
    <col min="15881" max="15881" width="10" style="13" customWidth="1"/>
    <col min="15882" max="15882" width="11.5" style="13" customWidth="1"/>
    <col min="15883" max="15883" width="10.1640625" style="13" customWidth="1"/>
    <col min="15884" max="16128" width="8.83203125" style="13"/>
    <col min="16129" max="16129" width="26.6640625" style="13" customWidth="1"/>
    <col min="16130" max="16130" width="12.6640625" style="13" bestFit="1" customWidth="1"/>
    <col min="16131" max="16131" width="4.83203125" style="13" customWidth="1"/>
    <col min="16132" max="16133" width="10.33203125" style="13" bestFit="1" customWidth="1"/>
    <col min="16134" max="16134" width="9.83203125" style="13" customWidth="1"/>
    <col min="16135" max="16135" width="10.6640625" style="13" customWidth="1"/>
    <col min="16136" max="16136" width="9.6640625" style="13" customWidth="1"/>
    <col min="16137" max="16137" width="10" style="13" customWidth="1"/>
    <col min="16138" max="16138" width="11.5" style="13" customWidth="1"/>
    <col min="16139" max="16139" width="10.1640625" style="13" customWidth="1"/>
    <col min="16140" max="16384" width="8.83203125" style="13"/>
  </cols>
  <sheetData>
    <row r="1" spans="1:6" ht="17" x14ac:dyDescent="0.15">
      <c r="A1" s="15" t="s">
        <v>34</v>
      </c>
      <c r="B1" s="16"/>
    </row>
    <row r="2" spans="1:6" ht="17" x14ac:dyDescent="0.15">
      <c r="A2" s="17"/>
      <c r="B2" s="16"/>
    </row>
    <row r="3" spans="1:6" x14ac:dyDescent="0.15">
      <c r="A3" s="13" t="s">
        <v>35</v>
      </c>
      <c r="D3" s="19" t="s">
        <v>36</v>
      </c>
      <c r="E3" s="19"/>
      <c r="F3" s="19"/>
    </row>
    <row r="4" spans="1:6" x14ac:dyDescent="0.15">
      <c r="A4" s="13" t="s">
        <v>37</v>
      </c>
      <c r="F4" s="13" t="s">
        <v>102</v>
      </c>
    </row>
    <row r="5" spans="1:6" x14ac:dyDescent="0.15">
      <c r="A5" s="13" t="s">
        <v>97</v>
      </c>
      <c r="B5" s="41">
        <f>IF(D6&lt;=1,F5*D5,F5*D5+((D5*(D6-1))*F6))</f>
        <v>11000000</v>
      </c>
      <c r="D5" s="39">
        <f>蓄熱シュミレーション!L19</f>
        <v>1</v>
      </c>
      <c r="E5" s="13" t="s">
        <v>101</v>
      </c>
      <c r="F5" s="32">
        <v>11000000</v>
      </c>
    </row>
    <row r="6" spans="1:6" x14ac:dyDescent="0.15">
      <c r="A6" s="13" t="s">
        <v>38</v>
      </c>
      <c r="B6" s="41">
        <f>F7*D5</f>
        <v>650000</v>
      </c>
      <c r="D6" s="39">
        <f>蓄熱シュミレーション!L17</f>
        <v>1</v>
      </c>
      <c r="E6" s="13" t="s">
        <v>117</v>
      </c>
      <c r="F6" s="32">
        <v>4000000</v>
      </c>
    </row>
    <row r="7" spans="1:6" x14ac:dyDescent="0.15">
      <c r="A7" s="13" t="s">
        <v>39</v>
      </c>
      <c r="B7" s="41">
        <f>F8*D5</f>
        <v>1850000</v>
      </c>
      <c r="E7" s="13" t="s">
        <v>118</v>
      </c>
      <c r="F7" s="32">
        <v>650000</v>
      </c>
    </row>
    <row r="8" spans="1:6" x14ac:dyDescent="0.15">
      <c r="A8" s="13" t="s">
        <v>40</v>
      </c>
      <c r="B8" s="18">
        <f>SUM(B5:B7)</f>
        <v>13500000</v>
      </c>
      <c r="E8" s="13" t="s">
        <v>119</v>
      </c>
      <c r="F8" s="32">
        <v>1850000</v>
      </c>
    </row>
    <row r="9" spans="1:6" x14ac:dyDescent="0.15">
      <c r="A9" s="13" t="s">
        <v>41</v>
      </c>
      <c r="B9" s="18">
        <f>B8*C9/100</f>
        <v>0</v>
      </c>
      <c r="C9" s="31">
        <v>0</v>
      </c>
      <c r="D9" s="13" t="s">
        <v>42</v>
      </c>
      <c r="F9" s="20"/>
    </row>
    <row r="10" spans="1:6" x14ac:dyDescent="0.15">
      <c r="A10" s="13" t="s">
        <v>43</v>
      </c>
      <c r="B10" s="18">
        <f>B8-B9</f>
        <v>13500000</v>
      </c>
      <c r="F10" s="20"/>
    </row>
    <row r="12" spans="1:6" x14ac:dyDescent="0.15">
      <c r="A12" s="13" t="s">
        <v>44</v>
      </c>
    </row>
    <row r="13" spans="1:6" x14ac:dyDescent="0.15">
      <c r="A13" s="13" t="s">
        <v>45</v>
      </c>
      <c r="B13" s="41">
        <f>F13*D5*D6</f>
        <v>280000</v>
      </c>
      <c r="F13" s="32">
        <v>280000</v>
      </c>
    </row>
    <row r="15" spans="1:6" x14ac:dyDescent="0.15">
      <c r="A15" s="13" t="s">
        <v>46</v>
      </c>
      <c r="B15" s="20"/>
    </row>
    <row r="16" spans="1:6" x14ac:dyDescent="0.15">
      <c r="A16" s="13" t="s">
        <v>47</v>
      </c>
      <c r="B16" s="42">
        <f>蓄熱シュミレーション!G19</f>
        <v>6.9666708695834911</v>
      </c>
      <c r="C16" s="13" t="s">
        <v>75</v>
      </c>
      <c r="D16" s="21" t="s">
        <v>48</v>
      </c>
    </row>
    <row r="17" spans="1:9" x14ac:dyDescent="0.15">
      <c r="A17" s="13" t="s">
        <v>49</v>
      </c>
      <c r="B17" s="32">
        <v>360</v>
      </c>
      <c r="C17" s="13" t="s">
        <v>74</v>
      </c>
    </row>
    <row r="18" spans="1:9" x14ac:dyDescent="0.15">
      <c r="A18" s="13" t="s">
        <v>77</v>
      </c>
      <c r="B18" s="42">
        <f>蓄熱シュミレーション!J19*D5</f>
        <v>2.6478844025591526</v>
      </c>
      <c r="C18" s="13" t="s">
        <v>76</v>
      </c>
    </row>
    <row r="19" spans="1:9" x14ac:dyDescent="0.15">
      <c r="A19" s="13" t="s">
        <v>50</v>
      </c>
      <c r="B19" s="30">
        <v>20</v>
      </c>
      <c r="C19" s="13" t="s">
        <v>73</v>
      </c>
    </row>
    <row r="20" spans="1:9" x14ac:dyDescent="0.15">
      <c r="A20" s="13" t="s">
        <v>51</v>
      </c>
      <c r="B20" s="22">
        <f>B16*B17*B18</f>
        <v>6640.8980880000008</v>
      </c>
      <c r="C20" s="13" t="s">
        <v>72</v>
      </c>
    </row>
    <row r="21" spans="1:9" x14ac:dyDescent="0.15">
      <c r="A21" s="13" t="s">
        <v>52</v>
      </c>
      <c r="B21" s="18">
        <f>B19*B20</f>
        <v>132817.96176000001</v>
      </c>
      <c r="C21" s="13" t="s">
        <v>53</v>
      </c>
    </row>
    <row r="23" spans="1:9" x14ac:dyDescent="0.15">
      <c r="A23" s="13" t="s">
        <v>54</v>
      </c>
      <c r="C23" s="13" t="s">
        <v>55</v>
      </c>
      <c r="D23" s="13" t="s">
        <v>56</v>
      </c>
      <c r="E23" s="13" t="s">
        <v>57</v>
      </c>
      <c r="F23" s="13" t="s">
        <v>58</v>
      </c>
      <c r="G23" s="13" t="s">
        <v>59</v>
      </c>
      <c r="H23" s="13" t="s">
        <v>60</v>
      </c>
    </row>
    <row r="24" spans="1:9" x14ac:dyDescent="0.15">
      <c r="D24" s="18">
        <f>B10+B13-B21</f>
        <v>13647182.038240001</v>
      </c>
      <c r="E24" s="18">
        <f>IF(D24&gt;B21,D24+$B$13-$B$21,0)</f>
        <v>13794364.076480001</v>
      </c>
      <c r="F24" s="18">
        <f>IF(E24&gt;B21,E24+$B$13-$B$21,0)</f>
        <v>13941546.114720002</v>
      </c>
      <c r="G24" s="18">
        <f>IF(F24&gt;B21,F24+$B$13-$B$21,0)</f>
        <v>14088728.152960002</v>
      </c>
      <c r="H24" s="18">
        <f>IF(G24&gt;B21,G24+$B$13-$B$21,0)</f>
        <v>14235910.191200003</v>
      </c>
    </row>
    <row r="25" spans="1:9" x14ac:dyDescent="0.15">
      <c r="D25" s="13" t="s">
        <v>61</v>
      </c>
      <c r="E25" s="13" t="s">
        <v>62</v>
      </c>
      <c r="F25" s="13" t="s">
        <v>65</v>
      </c>
      <c r="G25" s="13" t="s">
        <v>66</v>
      </c>
      <c r="H25" s="13" t="s">
        <v>68</v>
      </c>
      <c r="I25" s="13" t="s">
        <v>67</v>
      </c>
    </row>
    <row r="26" spans="1:9" x14ac:dyDescent="0.15">
      <c r="D26" s="18">
        <f>IF(H24&gt;B21,H24+$B$13-$B$21,0)</f>
        <v>14383092.229440004</v>
      </c>
      <c r="E26" s="18">
        <f>IF(D26&gt;B21,D26+$B$13-$B$21,0)</f>
        <v>14530274.267680004</v>
      </c>
      <c r="F26" s="18">
        <f>IF(E26&gt;B21,E26+$B$13-$B$21,0)</f>
        <v>14677456.305920005</v>
      </c>
      <c r="G26" s="18">
        <f>IF(F26&gt;B21,F26+$B$13-$B$21,0)</f>
        <v>14824638.344160005</v>
      </c>
      <c r="H26" s="18">
        <f>IF(G26&gt;B21,G26+$B$13-$B$21,0)</f>
        <v>14971820.382400006</v>
      </c>
      <c r="I26" s="18">
        <f>H26</f>
        <v>14971820.382400006</v>
      </c>
    </row>
    <row r="29" spans="1:9" x14ac:dyDescent="0.15">
      <c r="A29" s="23" t="s">
        <v>63</v>
      </c>
      <c r="B29" s="33">
        <f>IF(D5&gt;0,B13/B20,0)</f>
        <v>42.162971979039348</v>
      </c>
      <c r="C29" s="23" t="s">
        <v>53</v>
      </c>
    </row>
  </sheetData>
  <sheetProtection password="D0CA" sheet="1" selectLockedCells="1"/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P45"/>
  <sheetViews>
    <sheetView showGridLines="0" workbookViewId="0">
      <selection activeCell="F10" sqref="F10"/>
    </sheetView>
  </sheetViews>
  <sheetFormatPr baseColWidth="12" defaultColWidth="8.83203125" defaultRowHeight="14" x14ac:dyDescent="0.15"/>
  <cols>
    <col min="1" max="1" width="10.5" customWidth="1"/>
    <col min="5" max="5" width="11.6640625" customWidth="1"/>
    <col min="6" max="6" width="9.6640625" customWidth="1"/>
    <col min="9" max="9" width="8.83203125" customWidth="1"/>
    <col min="10" max="10" width="9.83203125" customWidth="1"/>
    <col min="11" max="11" width="11.6640625" bestFit="1" customWidth="1"/>
    <col min="12" max="12" width="9.5" customWidth="1"/>
  </cols>
  <sheetData>
    <row r="2" spans="2:16" ht="17" x14ac:dyDescent="0.15">
      <c r="B2" s="1" t="s">
        <v>122</v>
      </c>
    </row>
    <row r="6" spans="2:16" x14ac:dyDescent="0.15">
      <c r="H6" s="19" t="s">
        <v>36</v>
      </c>
      <c r="I6" s="27"/>
      <c r="J6" s="27"/>
    </row>
    <row r="8" spans="2:16" x14ac:dyDescent="0.15">
      <c r="E8" t="s">
        <v>104</v>
      </c>
      <c r="H8" t="s">
        <v>124</v>
      </c>
      <c r="K8" t="s">
        <v>8</v>
      </c>
    </row>
    <row r="9" spans="2:16" x14ac:dyDescent="0.15">
      <c r="E9" t="s">
        <v>0</v>
      </c>
      <c r="F9" s="28">
        <v>120</v>
      </c>
      <c r="G9" t="s">
        <v>2</v>
      </c>
      <c r="H9" s="14">
        <f>IF(F9&gt;100,6.1078*10^(7.5*$F$9/($F$9+237.3))*100/1000,0)</f>
        <v>201.7327901679518</v>
      </c>
      <c r="I9" t="s">
        <v>123</v>
      </c>
      <c r="K9" t="s">
        <v>9</v>
      </c>
      <c r="L9" s="28">
        <v>25</v>
      </c>
      <c r="M9" t="s">
        <v>2</v>
      </c>
    </row>
    <row r="10" spans="2:16" x14ac:dyDescent="0.15">
      <c r="E10" t="s">
        <v>1</v>
      </c>
      <c r="F10" s="28">
        <v>0.28000000000000003</v>
      </c>
      <c r="G10" t="s">
        <v>5</v>
      </c>
      <c r="K10" t="s">
        <v>7</v>
      </c>
      <c r="L10" s="43">
        <f>L9+5</f>
        <v>30</v>
      </c>
      <c r="M10" t="s">
        <v>2</v>
      </c>
    </row>
    <row r="11" spans="2:16" x14ac:dyDescent="0.15">
      <c r="E11" t="s">
        <v>28</v>
      </c>
      <c r="F11" s="28">
        <v>6</v>
      </c>
      <c r="G11" t="s">
        <v>12</v>
      </c>
      <c r="K11" t="s">
        <v>99</v>
      </c>
      <c r="L11">
        <v>22</v>
      </c>
      <c r="M11" t="s">
        <v>100</v>
      </c>
    </row>
    <row r="12" spans="2:16" x14ac:dyDescent="0.15">
      <c r="E12" t="s">
        <v>29</v>
      </c>
      <c r="F12" s="14">
        <f>IF(F9&gt;100,(H13+F9-100)*F10*4.18,H13*F10*4.18)</f>
        <v>49.156800000000004</v>
      </c>
      <c r="G12" t="s">
        <v>30</v>
      </c>
      <c r="H12" s="14">
        <f>F12/4.18</f>
        <v>11.760000000000002</v>
      </c>
      <c r="I12" t="s">
        <v>71</v>
      </c>
    </row>
    <row r="13" spans="2:16" x14ac:dyDescent="0.15">
      <c r="E13" t="s">
        <v>69</v>
      </c>
      <c r="F13">
        <f>IF(F9&gt;100,100-H13,F9-H13)</f>
        <v>78</v>
      </c>
      <c r="G13" t="s">
        <v>31</v>
      </c>
      <c r="H13">
        <f>IF(F9&gt;100,L11,L11*(F9-L10)%)</f>
        <v>22</v>
      </c>
      <c r="I13" t="s">
        <v>98</v>
      </c>
    </row>
    <row r="14" spans="2:16" x14ac:dyDescent="0.15">
      <c r="E14" t="s">
        <v>32</v>
      </c>
      <c r="F14">
        <f>F10*3600/1000</f>
        <v>1.008</v>
      </c>
      <c r="G14" t="s">
        <v>109</v>
      </c>
    </row>
    <row r="15" spans="2:16" x14ac:dyDescent="0.15">
      <c r="E15" t="s">
        <v>70</v>
      </c>
      <c r="F15" s="44">
        <f>F14*3600*F11/1000</f>
        <v>21.772800000000004</v>
      </c>
      <c r="G15" t="s">
        <v>108</v>
      </c>
      <c r="P15" s="2"/>
    </row>
    <row r="16" spans="2:16" x14ac:dyDescent="0.15">
      <c r="F16" s="7" t="s">
        <v>13</v>
      </c>
      <c r="G16" s="10" t="s">
        <v>14</v>
      </c>
      <c r="H16" s="7" t="s">
        <v>115</v>
      </c>
      <c r="I16" s="8"/>
      <c r="J16" s="7" t="s">
        <v>116</v>
      </c>
      <c r="K16" s="8"/>
      <c r="L16" s="37" t="s">
        <v>103</v>
      </c>
      <c r="P16" s="2"/>
    </row>
    <row r="17" spans="6:12" x14ac:dyDescent="0.15">
      <c r="F17" s="3" t="s">
        <v>33</v>
      </c>
      <c r="G17" s="11">
        <f>F11</f>
        <v>6</v>
      </c>
      <c r="H17" s="9">
        <f>IF(F9&gt;100,(F12/L19)*0.06,IF(L17=1,(F12/L19)*(0.06*(F9+15)%),(F12/L19)*(0.06*(F9+15)%)*L17*0.7))</f>
        <v>2.949408</v>
      </c>
      <c r="I17" s="4" t="s">
        <v>23</v>
      </c>
      <c r="J17" s="25">
        <f>H17-(1.8*(H17/G27))</f>
        <v>2.5069968</v>
      </c>
      <c r="K17" s="4" t="s">
        <v>24</v>
      </c>
      <c r="L17" s="40">
        <f>IF( F10&gt;4,2,1)</f>
        <v>1</v>
      </c>
    </row>
    <row r="18" spans="6:12" x14ac:dyDescent="0.15">
      <c r="F18" s="3" t="s">
        <v>121</v>
      </c>
      <c r="G18" s="47">
        <f>IF(K36&gt;0,K44,0)</f>
        <v>0.9666708695834908</v>
      </c>
      <c r="H18" s="9">
        <f>IF(K36&gt;0,(G45+I45)/2*5%*L17,0+0)</f>
        <v>4.1439475000000003</v>
      </c>
      <c r="I18" s="4" t="s">
        <v>23</v>
      </c>
      <c r="J18" s="25">
        <f>H18-(1.8*(H18/G27))</f>
        <v>3.5223553750000001</v>
      </c>
      <c r="K18" s="4" t="s">
        <v>24</v>
      </c>
      <c r="L18" s="37" t="s">
        <v>78</v>
      </c>
    </row>
    <row r="19" spans="6:12" x14ac:dyDescent="0.15">
      <c r="F19" s="5" t="s">
        <v>25</v>
      </c>
      <c r="G19" s="12">
        <f>IF(G17+G18&gt;24,24+0,G17+G18)</f>
        <v>6.9666708695834911</v>
      </c>
      <c r="H19" s="24">
        <f>IF(G17+G18&gt;24,((G17*H17)+(G18*(24-G17)))/G19,((G17*H17)+(G18*H18))/G19)</f>
        <v>3.115158120657826</v>
      </c>
      <c r="I19" s="6" t="s">
        <v>64</v>
      </c>
      <c r="J19" s="26">
        <f>IF(G17+G18&gt;24,(J17*G17+J18*(24-G17))/G19,(J17*G17+J18*G18)/G19)</f>
        <v>2.6478844025591526</v>
      </c>
      <c r="K19" s="6" t="s">
        <v>24</v>
      </c>
      <c r="L19" s="38">
        <f>IF(F12&lt;200,1,ROUND(F12/200,0))</f>
        <v>1</v>
      </c>
    </row>
    <row r="26" spans="6:12" x14ac:dyDescent="0.15">
      <c r="F26" s="46" t="s">
        <v>110</v>
      </c>
    </row>
    <row r="27" spans="6:12" x14ac:dyDescent="0.15">
      <c r="F27" t="s">
        <v>120</v>
      </c>
      <c r="G27">
        <v>12</v>
      </c>
      <c r="H27" t="s">
        <v>15</v>
      </c>
    </row>
    <row r="28" spans="6:12" x14ac:dyDescent="0.15">
      <c r="F28" t="s">
        <v>16</v>
      </c>
      <c r="G28">
        <f>F13-C37</f>
        <v>31.5</v>
      </c>
      <c r="H28" t="s">
        <v>2</v>
      </c>
    </row>
    <row r="29" spans="6:12" x14ac:dyDescent="0.15">
      <c r="F29" t="s">
        <v>22</v>
      </c>
      <c r="G29">
        <f>C37+20</f>
        <v>66.5</v>
      </c>
      <c r="H29" t="s">
        <v>2</v>
      </c>
    </row>
    <row r="31" spans="6:12" x14ac:dyDescent="0.15">
      <c r="G31" s="45" t="s">
        <v>99</v>
      </c>
    </row>
    <row r="32" spans="6:12" x14ac:dyDescent="0.15">
      <c r="G32">
        <f>IF(F9&gt;100,VLOOKUP(100,HFC245fa!A4:B104,2,TRUE),VLOOKUP(F9-5,HFC245fa!A4:B104,2,TRUE))</f>
        <v>1261</v>
      </c>
      <c r="H32" t="s">
        <v>96</v>
      </c>
    </row>
    <row r="35" spans="1:12" x14ac:dyDescent="0.15">
      <c r="K35" t="s">
        <v>4</v>
      </c>
    </row>
    <row r="36" spans="1:12" x14ac:dyDescent="0.15">
      <c r="K36" s="29">
        <v>6</v>
      </c>
      <c r="L36" t="s">
        <v>3</v>
      </c>
    </row>
    <row r="37" spans="1:12" x14ac:dyDescent="0.15">
      <c r="C37">
        <f>F12/B43/4.18+B44-5</f>
        <v>46.5</v>
      </c>
      <c r="D37" t="s">
        <v>107</v>
      </c>
      <c r="K37" t="s">
        <v>17</v>
      </c>
    </row>
    <row r="38" spans="1:12" x14ac:dyDescent="0.15">
      <c r="K38" s="2">
        <f>G43*3600/1000*L17</f>
        <v>12.6</v>
      </c>
      <c r="L38" t="s">
        <v>18</v>
      </c>
    </row>
    <row r="39" spans="1:12" x14ac:dyDescent="0.15">
      <c r="K39" t="s">
        <v>20</v>
      </c>
    </row>
    <row r="40" spans="1:12" x14ac:dyDescent="0.15">
      <c r="K40" s="2">
        <f>IF(K36&gt;0,K38*G44/K36,L12)</f>
        <v>14.552999999999999</v>
      </c>
      <c r="L40" t="s">
        <v>21</v>
      </c>
    </row>
    <row r="43" spans="1:12" x14ac:dyDescent="0.15">
      <c r="A43" t="s">
        <v>11</v>
      </c>
      <c r="B43" s="14">
        <f>F12/((H13-0.5)*4.18)</f>
        <v>0.54697674418604658</v>
      </c>
      <c r="C43" t="s">
        <v>6</v>
      </c>
      <c r="F43" t="s">
        <v>10</v>
      </c>
      <c r="G43">
        <v>3.5</v>
      </c>
      <c r="H43" t="s">
        <v>6</v>
      </c>
      <c r="I43" t="s">
        <v>113</v>
      </c>
      <c r="K43" t="s">
        <v>114</v>
      </c>
    </row>
    <row r="44" spans="1:12" x14ac:dyDescent="0.15">
      <c r="A44" t="s">
        <v>26</v>
      </c>
      <c r="B44">
        <f>L10</f>
        <v>30</v>
      </c>
      <c r="C44" t="s">
        <v>27</v>
      </c>
      <c r="F44" t="s">
        <v>20</v>
      </c>
      <c r="G44" s="14">
        <f>L11*(F13-C37)%</f>
        <v>6.93</v>
      </c>
      <c r="H44" t="s">
        <v>2</v>
      </c>
      <c r="I44">
        <f>L11*(G29-C37)%</f>
        <v>4.4000000000000004</v>
      </c>
      <c r="J44" t="s">
        <v>111</v>
      </c>
      <c r="K44" s="14">
        <f>(F13-G29)/((G44+I44)/2)*(K36*1000/(G43*3600))</f>
        <v>0.9666708695834908</v>
      </c>
    </row>
    <row r="45" spans="1:12" x14ac:dyDescent="0.15">
      <c r="A45" t="s">
        <v>105</v>
      </c>
      <c r="B45">
        <f>VLOOKUP(C37,HFC245fa!A4:B104,2)</f>
        <v>305</v>
      </c>
      <c r="C45" t="s">
        <v>106</v>
      </c>
      <c r="F45" t="s">
        <v>19</v>
      </c>
      <c r="G45" s="14">
        <f>G43*G44*4.18</f>
        <v>101.38589999999999</v>
      </c>
      <c r="H45" t="s">
        <v>24</v>
      </c>
      <c r="I45" s="14">
        <f>G43*I44*4.18</f>
        <v>64.372</v>
      </c>
      <c r="J45" t="s">
        <v>112</v>
      </c>
    </row>
  </sheetData>
  <sheetProtection password="D0CA" sheet="1" objects="1" scenarios="1" selectLockedCells="1"/>
  <phoneticPr fontId="1"/>
  <pageMargins left="0.23622047244094491" right="0.23622047244094491" top="0.74803149606299213" bottom="0.74803149606299213" header="0.31496062992125984" footer="0.31496062992125984"/>
  <pageSetup paperSize="9"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:N10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28" sqref="F28"/>
    </sheetView>
  </sheetViews>
  <sheetFormatPr baseColWidth="12" defaultColWidth="8.83203125" defaultRowHeight="14" x14ac:dyDescent="0.15"/>
  <cols>
    <col min="8" max="8" width="9.5" bestFit="1" customWidth="1"/>
    <col min="13" max="14" width="8.83203125" style="36"/>
  </cols>
  <sheetData>
    <row r="1" spans="1:14" x14ac:dyDescent="0.15">
      <c r="A1" s="34" t="s">
        <v>79</v>
      </c>
      <c r="B1" s="34" t="s">
        <v>80</v>
      </c>
      <c r="C1" s="34" t="s">
        <v>81</v>
      </c>
      <c r="D1" s="34" t="s">
        <v>82</v>
      </c>
      <c r="E1" s="48" t="s">
        <v>83</v>
      </c>
      <c r="F1" s="49"/>
      <c r="G1" s="48" t="s">
        <v>84</v>
      </c>
      <c r="H1" s="49"/>
      <c r="I1" s="49" t="s">
        <v>85</v>
      </c>
      <c r="J1" s="49"/>
      <c r="K1" s="49" t="s">
        <v>86</v>
      </c>
      <c r="L1" s="49"/>
      <c r="M1" s="50" t="s">
        <v>87</v>
      </c>
      <c r="N1" s="50"/>
    </row>
    <row r="2" spans="1:14" x14ac:dyDescent="0.15">
      <c r="A2" s="34" t="s">
        <v>88</v>
      </c>
      <c r="B2" s="34" t="s">
        <v>89</v>
      </c>
      <c r="C2" s="34" t="s">
        <v>90</v>
      </c>
      <c r="D2" s="34" t="s">
        <v>91</v>
      </c>
      <c r="E2" s="49"/>
      <c r="F2" s="49"/>
      <c r="G2" s="49"/>
      <c r="H2" s="49"/>
      <c r="I2" s="49" t="s">
        <v>92</v>
      </c>
      <c r="J2" s="49"/>
      <c r="K2" s="49" t="s">
        <v>92</v>
      </c>
      <c r="L2" s="49"/>
      <c r="M2" s="51" t="s">
        <v>93</v>
      </c>
      <c r="N2" s="51"/>
    </row>
    <row r="3" spans="1:14" x14ac:dyDescent="0.15">
      <c r="A3" s="34"/>
      <c r="B3" s="34"/>
      <c r="C3" s="34" t="s">
        <v>94</v>
      </c>
      <c r="D3" s="34" t="s">
        <v>95</v>
      </c>
      <c r="E3" s="34" t="s">
        <v>95</v>
      </c>
      <c r="F3" s="34" t="s">
        <v>94</v>
      </c>
      <c r="G3" s="34" t="s">
        <v>95</v>
      </c>
      <c r="H3" s="34" t="s">
        <v>94</v>
      </c>
      <c r="I3" s="34" t="s">
        <v>95</v>
      </c>
      <c r="J3" s="34" t="s">
        <v>94</v>
      </c>
      <c r="K3" s="34" t="s">
        <v>95</v>
      </c>
      <c r="L3" s="34" t="s">
        <v>94</v>
      </c>
      <c r="M3" s="35" t="s">
        <v>95</v>
      </c>
      <c r="N3" s="35" t="s">
        <v>94</v>
      </c>
    </row>
    <row r="4" spans="1:14" x14ac:dyDescent="0.15">
      <c r="A4">
        <v>0</v>
      </c>
      <c r="B4">
        <v>54</v>
      </c>
      <c r="C4">
        <v>0.30757000000000001</v>
      </c>
      <c r="D4">
        <v>1404</v>
      </c>
      <c r="E4">
        <v>50.28</v>
      </c>
      <c r="F4">
        <v>255.21</v>
      </c>
      <c r="G4">
        <v>0.1988</v>
      </c>
      <c r="H4">
        <v>0.94899999999999995</v>
      </c>
      <c r="I4">
        <v>1.2903</v>
      </c>
      <c r="J4">
        <v>0.83699999999999997</v>
      </c>
      <c r="K4">
        <v>0.90880000000000005</v>
      </c>
      <c r="L4">
        <v>0.7641</v>
      </c>
      <c r="M4" s="36">
        <f>K4/I4*100</f>
        <v>70.433232581570181</v>
      </c>
      <c r="N4" s="36">
        <f>L4/J4*100</f>
        <v>91.290322580645167</v>
      </c>
    </row>
    <row r="5" spans="1:14" x14ac:dyDescent="0.15">
      <c r="A5">
        <v>1</v>
      </c>
      <c r="B5">
        <v>56</v>
      </c>
      <c r="C5">
        <v>0.29471999999999998</v>
      </c>
      <c r="D5">
        <v>1402</v>
      </c>
      <c r="E5">
        <v>51.58</v>
      </c>
      <c r="F5">
        <v>255.96</v>
      </c>
      <c r="G5">
        <v>0.20349999999999999</v>
      </c>
      <c r="H5">
        <v>0.94899999999999995</v>
      </c>
      <c r="I5">
        <v>1.2921</v>
      </c>
      <c r="J5">
        <v>0.8397</v>
      </c>
      <c r="K5">
        <v>0.91010000000000002</v>
      </c>
      <c r="L5">
        <v>0.76639999999999997</v>
      </c>
      <c r="M5" s="36">
        <f t="shared" ref="M5:N68" si="0">K5/I5*100</f>
        <v>70.43572478910302</v>
      </c>
      <c r="N5" s="36">
        <f t="shared" si="0"/>
        <v>91.27069191377872</v>
      </c>
    </row>
    <row r="6" spans="1:14" x14ac:dyDescent="0.15">
      <c r="A6">
        <v>2</v>
      </c>
      <c r="B6">
        <v>59</v>
      </c>
      <c r="C6">
        <v>0.28250999999999998</v>
      </c>
      <c r="D6">
        <v>1399</v>
      </c>
      <c r="E6">
        <v>52.87</v>
      </c>
      <c r="F6">
        <v>256.72000000000003</v>
      </c>
      <c r="G6">
        <v>0.2082</v>
      </c>
      <c r="H6">
        <v>0.94899999999999995</v>
      </c>
      <c r="I6">
        <v>1.2939000000000001</v>
      </c>
      <c r="J6">
        <v>0.84230000000000005</v>
      </c>
      <c r="K6">
        <v>0.91139999999999999</v>
      </c>
      <c r="L6">
        <v>0.76870000000000005</v>
      </c>
      <c r="M6" s="36">
        <f t="shared" si="0"/>
        <v>70.438210062601442</v>
      </c>
      <c r="N6" s="36">
        <f t="shared" si="0"/>
        <v>91.2620206577229</v>
      </c>
    </row>
    <row r="7" spans="1:14" x14ac:dyDescent="0.15">
      <c r="A7">
        <v>3</v>
      </c>
      <c r="B7">
        <v>61</v>
      </c>
      <c r="C7">
        <v>0.27090999999999998</v>
      </c>
      <c r="D7">
        <v>1396</v>
      </c>
      <c r="E7">
        <v>54.17</v>
      </c>
      <c r="F7">
        <v>257.47000000000003</v>
      </c>
      <c r="G7">
        <v>0.21290000000000001</v>
      </c>
      <c r="H7">
        <v>0.94910000000000005</v>
      </c>
      <c r="I7">
        <v>1.2957000000000001</v>
      </c>
      <c r="J7">
        <v>0.84499999999999997</v>
      </c>
      <c r="K7">
        <v>0.91279999999999994</v>
      </c>
      <c r="L7">
        <v>0.77100000000000002</v>
      </c>
      <c r="M7" s="36">
        <f t="shared" si="0"/>
        <v>70.448406266882756</v>
      </c>
      <c r="N7" s="36">
        <f t="shared" si="0"/>
        <v>91.242603550295868</v>
      </c>
    </row>
    <row r="8" spans="1:14" x14ac:dyDescent="0.15">
      <c r="A8">
        <v>4</v>
      </c>
      <c r="B8">
        <v>64</v>
      </c>
      <c r="C8">
        <v>0.25988</v>
      </c>
      <c r="D8">
        <v>1394</v>
      </c>
      <c r="E8">
        <v>55.46</v>
      </c>
      <c r="F8">
        <v>258.22000000000003</v>
      </c>
      <c r="G8">
        <v>0.21759999999999999</v>
      </c>
      <c r="H8">
        <v>0.94910000000000005</v>
      </c>
      <c r="I8">
        <v>1.2975000000000001</v>
      </c>
      <c r="J8">
        <v>0.84770000000000001</v>
      </c>
      <c r="K8">
        <v>0.91410000000000002</v>
      </c>
      <c r="L8">
        <v>0.77329999999999999</v>
      </c>
      <c r="M8" s="36">
        <f t="shared" si="0"/>
        <v>70.450867052023114</v>
      </c>
      <c r="N8" s="36">
        <f t="shared" si="0"/>
        <v>91.223310133301865</v>
      </c>
    </row>
    <row r="9" spans="1:14" x14ac:dyDescent="0.15">
      <c r="A9">
        <v>5</v>
      </c>
      <c r="B9">
        <v>67</v>
      </c>
      <c r="C9">
        <v>0.24937999999999999</v>
      </c>
      <c r="D9">
        <v>1391</v>
      </c>
      <c r="E9">
        <v>56.76</v>
      </c>
      <c r="F9">
        <v>258.97000000000003</v>
      </c>
      <c r="G9">
        <v>0.22220000000000001</v>
      </c>
      <c r="H9">
        <v>0.94920000000000004</v>
      </c>
      <c r="I9">
        <v>1.2992999999999999</v>
      </c>
      <c r="J9">
        <v>0.85040000000000004</v>
      </c>
      <c r="K9">
        <v>0.91549999999999998</v>
      </c>
      <c r="L9">
        <v>0.77559999999999996</v>
      </c>
      <c r="M9" s="36">
        <f t="shared" si="0"/>
        <v>70.46101747094589</v>
      </c>
      <c r="N9" s="36">
        <f t="shared" si="0"/>
        <v>91.204139228598308</v>
      </c>
    </row>
    <row r="10" spans="1:14" x14ac:dyDescent="0.15">
      <c r="A10">
        <v>6</v>
      </c>
      <c r="B10">
        <v>70</v>
      </c>
      <c r="C10">
        <v>0.23938999999999999</v>
      </c>
      <c r="D10">
        <v>1389</v>
      </c>
      <c r="E10">
        <v>58.06</v>
      </c>
      <c r="F10">
        <v>259.72000000000003</v>
      </c>
      <c r="G10">
        <v>0.22689999999999999</v>
      </c>
      <c r="H10">
        <v>0.94930000000000003</v>
      </c>
      <c r="I10">
        <v>1.3010999999999999</v>
      </c>
      <c r="J10">
        <v>0.85309999999999997</v>
      </c>
      <c r="K10">
        <v>0.91679999999999995</v>
      </c>
      <c r="L10">
        <v>0.77790000000000004</v>
      </c>
      <c r="M10" s="36">
        <f t="shared" si="0"/>
        <v>70.463454000461141</v>
      </c>
      <c r="N10" s="36">
        <f t="shared" si="0"/>
        <v>91.18508967295746</v>
      </c>
    </row>
    <row r="11" spans="1:14" x14ac:dyDescent="0.15">
      <c r="A11">
        <v>7</v>
      </c>
      <c r="B11">
        <v>73</v>
      </c>
      <c r="C11">
        <v>0.22988</v>
      </c>
      <c r="D11">
        <v>1386</v>
      </c>
      <c r="E11">
        <v>59.37</v>
      </c>
      <c r="F11">
        <v>260.47000000000003</v>
      </c>
      <c r="G11">
        <v>0.2316</v>
      </c>
      <c r="H11">
        <v>0.94940000000000002</v>
      </c>
      <c r="I11">
        <v>1.3028999999999999</v>
      </c>
      <c r="J11">
        <v>0.85589999999999999</v>
      </c>
      <c r="K11">
        <v>0.91820000000000002</v>
      </c>
      <c r="L11">
        <v>0.7802</v>
      </c>
      <c r="M11" s="36">
        <f t="shared" si="0"/>
        <v>70.473558983805361</v>
      </c>
      <c r="N11" s="36">
        <f t="shared" si="0"/>
        <v>91.155508821123959</v>
      </c>
    </row>
    <row r="12" spans="1:14" x14ac:dyDescent="0.15">
      <c r="A12">
        <v>8</v>
      </c>
      <c r="B12">
        <v>76</v>
      </c>
      <c r="C12">
        <v>0.22083</v>
      </c>
      <c r="D12">
        <v>1384</v>
      </c>
      <c r="E12">
        <v>60.67</v>
      </c>
      <c r="F12">
        <v>261.23</v>
      </c>
      <c r="G12">
        <v>0.23619999999999999</v>
      </c>
      <c r="H12">
        <v>0.94950000000000001</v>
      </c>
      <c r="I12">
        <v>1.3048</v>
      </c>
      <c r="J12">
        <v>0.85860000000000003</v>
      </c>
      <c r="K12">
        <v>0.91949999999999998</v>
      </c>
      <c r="L12">
        <v>0.78249999999999997</v>
      </c>
      <c r="M12" s="36">
        <f t="shared" si="0"/>
        <v>70.470570202329867</v>
      </c>
      <c r="N12" s="36">
        <f t="shared" si="0"/>
        <v>91.136734218495221</v>
      </c>
    </row>
    <row r="13" spans="1:14" x14ac:dyDescent="0.15">
      <c r="A13">
        <v>9</v>
      </c>
      <c r="B13">
        <v>80</v>
      </c>
      <c r="C13">
        <v>0.2122</v>
      </c>
      <c r="D13">
        <v>1381</v>
      </c>
      <c r="E13">
        <v>61.98</v>
      </c>
      <c r="F13">
        <v>261.98</v>
      </c>
      <c r="G13">
        <v>0.24079999999999999</v>
      </c>
      <c r="H13">
        <v>0.94969999999999999</v>
      </c>
      <c r="I13">
        <v>1.3067</v>
      </c>
      <c r="J13">
        <v>0.86140000000000005</v>
      </c>
      <c r="K13">
        <v>0.92090000000000005</v>
      </c>
      <c r="L13">
        <v>0.78480000000000005</v>
      </c>
      <c r="M13" s="36">
        <f t="shared" si="0"/>
        <v>70.475242978495459</v>
      </c>
      <c r="N13" s="36">
        <f t="shared" si="0"/>
        <v>91.107499419549569</v>
      </c>
    </row>
    <row r="14" spans="1:14" x14ac:dyDescent="0.15">
      <c r="A14">
        <v>10</v>
      </c>
      <c r="B14">
        <v>83</v>
      </c>
      <c r="C14">
        <v>0.20397000000000001</v>
      </c>
      <c r="D14">
        <v>1378</v>
      </c>
      <c r="E14">
        <v>63.29</v>
      </c>
      <c r="F14">
        <v>262.73</v>
      </c>
      <c r="G14">
        <v>0.2455</v>
      </c>
      <c r="H14">
        <v>0.94979999999999998</v>
      </c>
      <c r="I14">
        <v>1.3086</v>
      </c>
      <c r="J14">
        <v>0.86409999999999998</v>
      </c>
      <c r="K14">
        <v>0.92230000000000001</v>
      </c>
      <c r="L14">
        <v>0.78720000000000001</v>
      </c>
      <c r="M14" s="36">
        <f t="shared" si="0"/>
        <v>70.479902185541803</v>
      </c>
      <c r="N14" s="36">
        <f t="shared" si="0"/>
        <v>91.100567063997232</v>
      </c>
    </row>
    <row r="15" spans="1:14" x14ac:dyDescent="0.15">
      <c r="A15">
        <v>11</v>
      </c>
      <c r="B15">
        <v>86</v>
      </c>
      <c r="C15">
        <v>0.19613</v>
      </c>
      <c r="D15">
        <v>1376</v>
      </c>
      <c r="E15">
        <v>64.599999999999994</v>
      </c>
      <c r="F15">
        <v>263.48</v>
      </c>
      <c r="G15">
        <v>0.25009999999999999</v>
      </c>
      <c r="H15">
        <v>0.95</v>
      </c>
      <c r="I15">
        <v>1.3105</v>
      </c>
      <c r="J15">
        <v>0.8669</v>
      </c>
      <c r="K15">
        <v>0.92359999999999998</v>
      </c>
      <c r="L15">
        <v>0.78949999999999998</v>
      </c>
      <c r="M15" s="36">
        <f t="shared" si="0"/>
        <v>70.476917207172832</v>
      </c>
      <c r="N15" s="36">
        <f t="shared" si="0"/>
        <v>91.071634559926167</v>
      </c>
    </row>
    <row r="16" spans="1:14" x14ac:dyDescent="0.15">
      <c r="A16">
        <v>12</v>
      </c>
      <c r="B16">
        <v>90</v>
      </c>
      <c r="C16">
        <v>0.18865000000000001</v>
      </c>
      <c r="D16">
        <v>1373</v>
      </c>
      <c r="E16">
        <v>65.91</v>
      </c>
      <c r="F16">
        <v>264.24</v>
      </c>
      <c r="G16">
        <v>0.25469999999999998</v>
      </c>
      <c r="H16">
        <v>0.95020000000000004</v>
      </c>
      <c r="I16">
        <v>1.3124</v>
      </c>
      <c r="J16">
        <v>0.86970000000000003</v>
      </c>
      <c r="K16">
        <v>0.92500000000000004</v>
      </c>
      <c r="L16">
        <v>0.79179999999999995</v>
      </c>
      <c r="M16" s="36">
        <f t="shared" si="0"/>
        <v>70.481560499847603</v>
      </c>
      <c r="N16" s="36">
        <f t="shared" si="0"/>
        <v>91.042888352305383</v>
      </c>
    </row>
    <row r="17" spans="1:14" x14ac:dyDescent="0.15">
      <c r="A17">
        <v>13</v>
      </c>
      <c r="B17">
        <v>94</v>
      </c>
      <c r="C17">
        <v>0.18151</v>
      </c>
      <c r="D17">
        <v>1371</v>
      </c>
      <c r="E17">
        <v>67.23</v>
      </c>
      <c r="F17">
        <v>264.99</v>
      </c>
      <c r="G17">
        <v>0.25929999999999997</v>
      </c>
      <c r="H17">
        <v>0.95040000000000002</v>
      </c>
      <c r="I17">
        <v>1.3143</v>
      </c>
      <c r="J17">
        <v>0.87260000000000004</v>
      </c>
      <c r="K17">
        <v>0.9264</v>
      </c>
      <c r="L17">
        <v>0.79420000000000002</v>
      </c>
      <c r="M17" s="36">
        <f t="shared" si="0"/>
        <v>70.486190367496008</v>
      </c>
      <c r="N17" s="36">
        <f t="shared" si="0"/>
        <v>91.015356406142558</v>
      </c>
    </row>
    <row r="18" spans="1:14" x14ac:dyDescent="0.15">
      <c r="A18">
        <v>14</v>
      </c>
      <c r="B18">
        <v>98</v>
      </c>
      <c r="C18">
        <v>0.17469000000000001</v>
      </c>
      <c r="D18">
        <v>1368</v>
      </c>
      <c r="E18">
        <v>68.540000000000006</v>
      </c>
      <c r="F18">
        <v>265.74</v>
      </c>
      <c r="G18">
        <v>0.26379999999999998</v>
      </c>
      <c r="H18">
        <v>0.9506</v>
      </c>
      <c r="I18">
        <v>1.3162</v>
      </c>
      <c r="J18">
        <v>0.87539999999999996</v>
      </c>
      <c r="K18">
        <v>0.92779999999999996</v>
      </c>
      <c r="L18">
        <v>0.79649999999999999</v>
      </c>
      <c r="M18" s="36">
        <f t="shared" si="0"/>
        <v>70.490806868257096</v>
      </c>
      <c r="N18" s="36">
        <f t="shared" si="0"/>
        <v>90.986977381768341</v>
      </c>
    </row>
    <row r="19" spans="1:14" x14ac:dyDescent="0.15">
      <c r="A19">
        <v>15</v>
      </c>
      <c r="B19">
        <v>102</v>
      </c>
      <c r="C19">
        <v>0.16819000000000001</v>
      </c>
      <c r="D19">
        <v>1365</v>
      </c>
      <c r="E19">
        <v>69.86</v>
      </c>
      <c r="F19">
        <v>266.5</v>
      </c>
      <c r="G19">
        <v>0.26840000000000003</v>
      </c>
      <c r="H19">
        <v>0.95079999999999998</v>
      </c>
      <c r="I19">
        <v>1.3182</v>
      </c>
      <c r="J19">
        <v>0.87819999999999998</v>
      </c>
      <c r="K19">
        <v>0.92910000000000004</v>
      </c>
      <c r="L19">
        <v>0.79890000000000005</v>
      </c>
      <c r="M19" s="36">
        <f t="shared" si="0"/>
        <v>70.482476103777884</v>
      </c>
      <c r="N19" s="36">
        <f t="shared" si="0"/>
        <v>90.97016624914599</v>
      </c>
    </row>
    <row r="20" spans="1:14" x14ac:dyDescent="0.15">
      <c r="A20">
        <v>16</v>
      </c>
      <c r="B20">
        <v>106</v>
      </c>
      <c r="C20">
        <v>0.16197</v>
      </c>
      <c r="D20">
        <v>1363</v>
      </c>
      <c r="E20">
        <v>71.180000000000007</v>
      </c>
      <c r="F20">
        <v>267.25</v>
      </c>
      <c r="G20">
        <v>0.27300000000000002</v>
      </c>
      <c r="H20">
        <v>0.95109999999999995</v>
      </c>
      <c r="I20">
        <v>1.3202</v>
      </c>
      <c r="J20">
        <v>0.88109999999999999</v>
      </c>
      <c r="K20">
        <v>0.93049999999999999</v>
      </c>
      <c r="L20">
        <v>0.80120000000000002</v>
      </c>
      <c r="M20" s="36">
        <f t="shared" si="0"/>
        <v>70.481745190122709</v>
      </c>
      <c r="N20" s="36">
        <f t="shared" si="0"/>
        <v>90.93178980819431</v>
      </c>
    </row>
    <row r="21" spans="1:14" x14ac:dyDescent="0.15">
      <c r="A21">
        <v>17</v>
      </c>
      <c r="B21">
        <v>110</v>
      </c>
      <c r="C21">
        <v>0.15603</v>
      </c>
      <c r="D21">
        <v>1360</v>
      </c>
      <c r="E21">
        <v>72.5</v>
      </c>
      <c r="F21">
        <v>268</v>
      </c>
      <c r="G21">
        <v>0.27750000000000002</v>
      </c>
      <c r="H21">
        <v>0.95130000000000003</v>
      </c>
      <c r="I21">
        <v>1.3222</v>
      </c>
      <c r="J21">
        <v>0.88400000000000001</v>
      </c>
      <c r="K21">
        <v>0.93189999999999995</v>
      </c>
      <c r="L21">
        <v>0.80359999999999998</v>
      </c>
      <c r="M21" s="36">
        <f t="shared" si="0"/>
        <v>70.481016487672051</v>
      </c>
      <c r="N21" s="36">
        <f t="shared" si="0"/>
        <v>90.904977375565608</v>
      </c>
    </row>
    <row r="22" spans="1:14" x14ac:dyDescent="0.15">
      <c r="A22">
        <v>18</v>
      </c>
      <c r="B22">
        <v>115</v>
      </c>
      <c r="C22">
        <v>0.15035000000000001</v>
      </c>
      <c r="D22">
        <v>1358</v>
      </c>
      <c r="E22">
        <v>73.83</v>
      </c>
      <c r="F22">
        <v>268.76</v>
      </c>
      <c r="G22">
        <v>0.28210000000000002</v>
      </c>
      <c r="H22">
        <v>0.9516</v>
      </c>
      <c r="I22">
        <v>1.3242</v>
      </c>
      <c r="J22">
        <v>0.88690000000000002</v>
      </c>
      <c r="K22">
        <v>0.93330000000000002</v>
      </c>
      <c r="L22">
        <v>0.80600000000000005</v>
      </c>
      <c r="M22" s="36">
        <f t="shared" si="0"/>
        <v>70.480289986406888</v>
      </c>
      <c r="N22" s="36">
        <f t="shared" si="0"/>
        <v>90.878340286390795</v>
      </c>
    </row>
    <row r="23" spans="1:14" x14ac:dyDescent="0.15">
      <c r="A23">
        <v>19</v>
      </c>
      <c r="B23">
        <v>119</v>
      </c>
      <c r="C23">
        <v>0.14491999999999999</v>
      </c>
      <c r="D23">
        <v>1355</v>
      </c>
      <c r="E23">
        <v>75.150000000000006</v>
      </c>
      <c r="F23">
        <v>269.51</v>
      </c>
      <c r="G23">
        <v>0.28660000000000002</v>
      </c>
      <c r="H23">
        <v>0.95189999999999997</v>
      </c>
      <c r="I23">
        <v>1.3262</v>
      </c>
      <c r="J23">
        <v>0.88980000000000004</v>
      </c>
      <c r="K23">
        <v>0.93469999999999998</v>
      </c>
      <c r="L23">
        <v>0.80830000000000002</v>
      </c>
      <c r="M23" s="36">
        <f t="shared" si="0"/>
        <v>70.479565676368566</v>
      </c>
      <c r="N23" s="36">
        <f t="shared" si="0"/>
        <v>90.840638345695652</v>
      </c>
    </row>
    <row r="24" spans="1:14" x14ac:dyDescent="0.15">
      <c r="A24">
        <v>20</v>
      </c>
      <c r="B24">
        <v>124</v>
      </c>
      <c r="C24">
        <v>0.13972999999999999</v>
      </c>
      <c r="D24">
        <v>1352</v>
      </c>
      <c r="E24">
        <v>76.48</v>
      </c>
      <c r="F24">
        <v>270.26</v>
      </c>
      <c r="G24">
        <v>0.29110000000000003</v>
      </c>
      <c r="H24">
        <v>0.95220000000000005</v>
      </c>
      <c r="I24">
        <v>1.3283</v>
      </c>
      <c r="J24">
        <v>0.89280000000000004</v>
      </c>
      <c r="K24">
        <v>0.93610000000000004</v>
      </c>
      <c r="L24">
        <v>0.81069999999999998</v>
      </c>
      <c r="M24" s="36">
        <f t="shared" si="0"/>
        <v>70.473537604456823</v>
      </c>
      <c r="N24" s="36">
        <f t="shared" si="0"/>
        <v>90.804211469534053</v>
      </c>
    </row>
    <row r="25" spans="1:14" x14ac:dyDescent="0.15">
      <c r="A25">
        <v>21</v>
      </c>
      <c r="B25">
        <v>129</v>
      </c>
      <c r="C25">
        <v>0.13475999999999999</v>
      </c>
      <c r="D25">
        <v>1350</v>
      </c>
      <c r="E25">
        <v>77.81</v>
      </c>
      <c r="F25">
        <v>271.01</v>
      </c>
      <c r="G25">
        <v>0.29570000000000002</v>
      </c>
      <c r="H25">
        <v>0.95250000000000001</v>
      </c>
      <c r="I25">
        <v>1.3303</v>
      </c>
      <c r="J25">
        <v>0.89570000000000005</v>
      </c>
      <c r="K25">
        <v>0.9375</v>
      </c>
      <c r="L25">
        <v>0.81310000000000004</v>
      </c>
      <c r="M25" s="36">
        <f t="shared" si="0"/>
        <v>70.472825678418403</v>
      </c>
      <c r="N25" s="36">
        <f t="shared" si="0"/>
        <v>90.778162331137651</v>
      </c>
    </row>
    <row r="26" spans="1:14" x14ac:dyDescent="0.15">
      <c r="A26">
        <v>22</v>
      </c>
      <c r="B26">
        <v>134</v>
      </c>
      <c r="C26">
        <v>0.13</v>
      </c>
      <c r="D26">
        <v>1347</v>
      </c>
      <c r="E26">
        <v>79.150000000000006</v>
      </c>
      <c r="F26">
        <v>271.77</v>
      </c>
      <c r="G26">
        <v>0.30020000000000002</v>
      </c>
      <c r="H26">
        <v>0.95279999999999998</v>
      </c>
      <c r="I26">
        <v>1.3324</v>
      </c>
      <c r="J26">
        <v>0.89870000000000005</v>
      </c>
      <c r="K26">
        <v>0.93899999999999995</v>
      </c>
      <c r="L26">
        <v>0.8155</v>
      </c>
      <c r="M26" s="36">
        <f t="shared" si="0"/>
        <v>70.474332032422694</v>
      </c>
      <c r="N26" s="36">
        <f t="shared" si="0"/>
        <v>90.742183153443861</v>
      </c>
    </row>
    <row r="27" spans="1:14" x14ac:dyDescent="0.15">
      <c r="A27">
        <v>23</v>
      </c>
      <c r="B27">
        <v>139</v>
      </c>
      <c r="C27">
        <v>0.12544</v>
      </c>
      <c r="D27">
        <v>1344</v>
      </c>
      <c r="E27">
        <v>80.48</v>
      </c>
      <c r="F27">
        <v>272.52</v>
      </c>
      <c r="G27">
        <v>0.30470000000000003</v>
      </c>
      <c r="H27">
        <v>0.95309999999999995</v>
      </c>
      <c r="I27">
        <v>1.3345</v>
      </c>
      <c r="J27">
        <v>0.90169999999999995</v>
      </c>
      <c r="K27">
        <v>0.94040000000000001</v>
      </c>
      <c r="L27">
        <v>0.81789999999999996</v>
      </c>
      <c r="M27" s="36">
        <f t="shared" si="0"/>
        <v>70.468340202322963</v>
      </c>
      <c r="N27" s="36">
        <f t="shared" si="0"/>
        <v>90.706443384717758</v>
      </c>
    </row>
    <row r="28" spans="1:14" x14ac:dyDescent="0.15">
      <c r="A28">
        <v>24</v>
      </c>
      <c r="B28">
        <v>144</v>
      </c>
      <c r="C28">
        <v>0.12107999999999999</v>
      </c>
      <c r="D28">
        <v>1341</v>
      </c>
      <c r="E28">
        <v>81.819999999999993</v>
      </c>
      <c r="F28">
        <v>273.27</v>
      </c>
      <c r="G28">
        <v>0.30919999999999997</v>
      </c>
      <c r="H28">
        <v>0.95350000000000001</v>
      </c>
      <c r="I28">
        <v>1.3366</v>
      </c>
      <c r="J28">
        <v>0.90469999999999995</v>
      </c>
      <c r="K28">
        <v>0.94179999999999997</v>
      </c>
      <c r="L28">
        <v>0.82030000000000003</v>
      </c>
      <c r="M28" s="36">
        <f t="shared" si="0"/>
        <v>70.462367200359125</v>
      </c>
      <c r="N28" s="36">
        <f t="shared" si="0"/>
        <v>90.67094064330719</v>
      </c>
    </row>
    <row r="29" spans="1:14" x14ac:dyDescent="0.15">
      <c r="A29">
        <v>25</v>
      </c>
      <c r="B29">
        <v>149</v>
      </c>
      <c r="C29">
        <v>0.1169</v>
      </c>
      <c r="D29">
        <v>1339</v>
      </c>
      <c r="E29">
        <v>83.16</v>
      </c>
      <c r="F29">
        <v>274.02</v>
      </c>
      <c r="G29">
        <v>0.31369999999999998</v>
      </c>
      <c r="H29">
        <v>0.95379999999999998</v>
      </c>
      <c r="I29">
        <v>1.3388</v>
      </c>
      <c r="J29">
        <v>0.90769999999999995</v>
      </c>
      <c r="K29">
        <v>0.94320000000000004</v>
      </c>
      <c r="L29">
        <v>0.82269999999999999</v>
      </c>
      <c r="M29" s="36">
        <f t="shared" si="0"/>
        <v>70.45115028383627</v>
      </c>
      <c r="N29" s="36">
        <f t="shared" si="0"/>
        <v>90.635672579045945</v>
      </c>
    </row>
    <row r="30" spans="1:14" x14ac:dyDescent="0.15">
      <c r="A30">
        <v>26</v>
      </c>
      <c r="B30">
        <v>155</v>
      </c>
      <c r="C30">
        <v>0.11289</v>
      </c>
      <c r="D30">
        <v>1336</v>
      </c>
      <c r="E30">
        <v>84.5</v>
      </c>
      <c r="F30">
        <v>274.77999999999997</v>
      </c>
      <c r="G30">
        <v>0.31809999999999999</v>
      </c>
      <c r="H30">
        <v>0.95420000000000005</v>
      </c>
      <c r="I30">
        <v>1.3409</v>
      </c>
      <c r="J30">
        <v>0.91080000000000005</v>
      </c>
      <c r="K30">
        <v>0.94469999999999998</v>
      </c>
      <c r="L30">
        <v>0.82509999999999994</v>
      </c>
      <c r="M30" s="36">
        <f t="shared" si="0"/>
        <v>70.452681035125664</v>
      </c>
      <c r="N30" s="36">
        <f t="shared" si="0"/>
        <v>90.590689503732975</v>
      </c>
    </row>
    <row r="31" spans="1:14" x14ac:dyDescent="0.15">
      <c r="A31">
        <v>27</v>
      </c>
      <c r="B31">
        <v>161</v>
      </c>
      <c r="C31">
        <v>0.10904999999999999</v>
      </c>
      <c r="D31">
        <v>1333</v>
      </c>
      <c r="E31">
        <v>85.84</v>
      </c>
      <c r="F31">
        <v>275.52999999999997</v>
      </c>
      <c r="G31">
        <v>0.3226</v>
      </c>
      <c r="H31">
        <v>0.9546</v>
      </c>
      <c r="I31">
        <v>1.3431</v>
      </c>
      <c r="J31">
        <v>0.91379999999999995</v>
      </c>
      <c r="K31">
        <v>0.94610000000000005</v>
      </c>
      <c r="L31">
        <v>0.82750000000000001</v>
      </c>
      <c r="M31" s="36">
        <f t="shared" si="0"/>
        <v>70.441515896061361</v>
      </c>
      <c r="N31" s="36">
        <f t="shared" si="0"/>
        <v>90.555920332676749</v>
      </c>
    </row>
    <row r="32" spans="1:14" x14ac:dyDescent="0.15">
      <c r="A32">
        <v>28</v>
      </c>
      <c r="B32">
        <v>167</v>
      </c>
      <c r="C32">
        <v>0.10536</v>
      </c>
      <c r="D32">
        <v>1331</v>
      </c>
      <c r="E32">
        <v>87.19</v>
      </c>
      <c r="F32">
        <v>276.27999999999997</v>
      </c>
      <c r="G32">
        <v>0.3271</v>
      </c>
      <c r="H32">
        <v>0.95499999999999996</v>
      </c>
      <c r="I32">
        <v>1.3452999999999999</v>
      </c>
      <c r="J32">
        <v>0.91690000000000005</v>
      </c>
      <c r="K32">
        <v>0.9476</v>
      </c>
      <c r="L32">
        <v>0.82989999999999997</v>
      </c>
      <c r="M32" s="36">
        <f t="shared" si="0"/>
        <v>70.437820560469788</v>
      </c>
      <c r="N32" s="36">
        <f t="shared" si="0"/>
        <v>90.511506162067832</v>
      </c>
    </row>
    <row r="33" spans="1:14" x14ac:dyDescent="0.15">
      <c r="A33">
        <v>29</v>
      </c>
      <c r="B33">
        <v>173</v>
      </c>
      <c r="C33">
        <v>0.10183</v>
      </c>
      <c r="D33">
        <v>1328</v>
      </c>
      <c r="E33">
        <v>88.54</v>
      </c>
      <c r="F33">
        <v>277.02999999999997</v>
      </c>
      <c r="G33">
        <v>0.33150000000000002</v>
      </c>
      <c r="H33">
        <v>0.95540000000000003</v>
      </c>
      <c r="I33">
        <v>1.3474999999999999</v>
      </c>
      <c r="J33">
        <v>0.92</v>
      </c>
      <c r="K33">
        <v>0.94899999999999995</v>
      </c>
      <c r="L33">
        <v>0.83230000000000004</v>
      </c>
      <c r="M33" s="36">
        <f t="shared" si="0"/>
        <v>70.426716141001862</v>
      </c>
      <c r="N33" s="36">
        <f t="shared" si="0"/>
        <v>90.467391304347828</v>
      </c>
    </row>
    <row r="34" spans="1:14" x14ac:dyDescent="0.15">
      <c r="A34">
        <v>30</v>
      </c>
      <c r="B34">
        <v>179</v>
      </c>
      <c r="C34">
        <v>9.8430000000000004E-2</v>
      </c>
      <c r="D34">
        <v>1325</v>
      </c>
      <c r="E34">
        <v>89.89</v>
      </c>
      <c r="F34">
        <v>277.77999999999997</v>
      </c>
      <c r="G34">
        <v>0.33600000000000002</v>
      </c>
      <c r="H34">
        <v>0.95579999999999998</v>
      </c>
      <c r="I34">
        <v>1.3496999999999999</v>
      </c>
      <c r="J34">
        <v>0.92320000000000002</v>
      </c>
      <c r="K34">
        <v>0.95050000000000001</v>
      </c>
      <c r="L34">
        <v>0.8347</v>
      </c>
      <c r="M34" s="36">
        <f t="shared" si="0"/>
        <v>70.42305697562422</v>
      </c>
      <c r="N34" s="36">
        <f t="shared" si="0"/>
        <v>90.413778162911612</v>
      </c>
    </row>
    <row r="35" spans="1:14" x14ac:dyDescent="0.15">
      <c r="A35">
        <v>31</v>
      </c>
      <c r="B35">
        <v>185</v>
      </c>
      <c r="C35">
        <v>9.5180000000000001E-2</v>
      </c>
      <c r="D35">
        <v>1322</v>
      </c>
      <c r="E35">
        <v>91.24</v>
      </c>
      <c r="F35">
        <v>278.52999999999997</v>
      </c>
      <c r="G35">
        <v>0.34039999999999998</v>
      </c>
      <c r="H35">
        <v>0.95620000000000005</v>
      </c>
      <c r="I35">
        <v>1.3520000000000001</v>
      </c>
      <c r="J35">
        <v>0.92630000000000001</v>
      </c>
      <c r="K35">
        <v>0.95189999999999997</v>
      </c>
      <c r="L35">
        <v>0.83709999999999996</v>
      </c>
      <c r="M35" s="36">
        <f t="shared" si="0"/>
        <v>70.406804733727796</v>
      </c>
      <c r="N35" s="36">
        <f t="shared" si="0"/>
        <v>90.370290402677313</v>
      </c>
    </row>
    <row r="36" spans="1:14" x14ac:dyDescent="0.15">
      <c r="A36">
        <v>32</v>
      </c>
      <c r="B36">
        <v>192</v>
      </c>
      <c r="C36">
        <v>9.2050000000000007E-2</v>
      </c>
      <c r="D36">
        <v>1320</v>
      </c>
      <c r="E36">
        <v>92.6</v>
      </c>
      <c r="F36">
        <v>279.27999999999997</v>
      </c>
      <c r="G36">
        <v>0.3448</v>
      </c>
      <c r="H36">
        <v>0.95660000000000001</v>
      </c>
      <c r="I36">
        <v>1.3542000000000001</v>
      </c>
      <c r="J36">
        <v>0.92949999999999999</v>
      </c>
      <c r="K36">
        <v>0.95340000000000003</v>
      </c>
      <c r="L36">
        <v>0.83960000000000001</v>
      </c>
      <c r="M36" s="36">
        <f t="shared" si="0"/>
        <v>70.40319007532122</v>
      </c>
      <c r="N36" s="36">
        <f t="shared" si="0"/>
        <v>90.328133405056491</v>
      </c>
    </row>
    <row r="37" spans="1:14" x14ac:dyDescent="0.15">
      <c r="A37">
        <v>33</v>
      </c>
      <c r="B37">
        <v>199</v>
      </c>
      <c r="C37">
        <v>8.9039999999999994E-2</v>
      </c>
      <c r="D37">
        <v>1317</v>
      </c>
      <c r="E37">
        <v>93.95</v>
      </c>
      <c r="F37">
        <v>280.02999999999997</v>
      </c>
      <c r="G37">
        <v>0.3493</v>
      </c>
      <c r="H37">
        <v>0.95709999999999995</v>
      </c>
      <c r="I37">
        <v>1.3565</v>
      </c>
      <c r="J37">
        <v>0.93269999999999997</v>
      </c>
      <c r="K37">
        <v>0.95479999999999998</v>
      </c>
      <c r="L37">
        <v>0.84199999999999997</v>
      </c>
      <c r="M37" s="36">
        <f t="shared" si="0"/>
        <v>70.387025433099879</v>
      </c>
      <c r="N37" s="36">
        <f t="shared" si="0"/>
        <v>90.275544119223767</v>
      </c>
    </row>
    <row r="38" spans="1:14" x14ac:dyDescent="0.15">
      <c r="A38">
        <v>34</v>
      </c>
      <c r="B38">
        <v>206</v>
      </c>
      <c r="C38">
        <v>8.616E-2</v>
      </c>
      <c r="D38">
        <v>1314</v>
      </c>
      <c r="E38">
        <v>95.31</v>
      </c>
      <c r="F38">
        <v>280.77999999999997</v>
      </c>
      <c r="G38">
        <v>0.35370000000000001</v>
      </c>
      <c r="H38">
        <v>0.95750000000000002</v>
      </c>
      <c r="I38">
        <v>1.3588</v>
      </c>
      <c r="J38">
        <v>0.93589999999999995</v>
      </c>
      <c r="K38">
        <v>0.95630000000000004</v>
      </c>
      <c r="L38">
        <v>0.84450000000000003</v>
      </c>
      <c r="M38" s="36">
        <f t="shared" si="0"/>
        <v>70.378274948483948</v>
      </c>
      <c r="N38" s="36">
        <f t="shared" si="0"/>
        <v>90.233999358905876</v>
      </c>
    </row>
    <row r="39" spans="1:14" x14ac:dyDescent="0.15">
      <c r="A39">
        <v>35</v>
      </c>
      <c r="B39">
        <v>213</v>
      </c>
      <c r="C39">
        <v>8.3379999999999996E-2</v>
      </c>
      <c r="D39">
        <v>1311</v>
      </c>
      <c r="E39">
        <v>96.67</v>
      </c>
      <c r="F39">
        <v>281.52999999999997</v>
      </c>
      <c r="G39">
        <v>0.35809999999999997</v>
      </c>
      <c r="H39">
        <v>0.95799999999999996</v>
      </c>
      <c r="I39">
        <v>1.3612</v>
      </c>
      <c r="J39">
        <v>0.93910000000000005</v>
      </c>
      <c r="K39">
        <v>0.95779999999999998</v>
      </c>
      <c r="L39">
        <v>0.84689999999999999</v>
      </c>
      <c r="M39" s="36">
        <f t="shared" si="0"/>
        <v>70.364384366735237</v>
      </c>
      <c r="N39" s="36">
        <f t="shared" si="0"/>
        <v>90.182089234373336</v>
      </c>
    </row>
    <row r="40" spans="1:14" x14ac:dyDescent="0.15">
      <c r="A40">
        <v>36</v>
      </c>
      <c r="B40">
        <v>220</v>
      </c>
      <c r="C40">
        <v>8.072E-2</v>
      </c>
      <c r="D40">
        <v>1308</v>
      </c>
      <c r="E40">
        <v>98.04</v>
      </c>
      <c r="F40">
        <v>282.27</v>
      </c>
      <c r="G40">
        <v>0.36249999999999999</v>
      </c>
      <c r="H40">
        <v>0.95840000000000003</v>
      </c>
      <c r="I40">
        <v>1.3634999999999999</v>
      </c>
      <c r="J40">
        <v>0.94240000000000002</v>
      </c>
      <c r="K40">
        <v>0.95930000000000004</v>
      </c>
      <c r="L40">
        <v>0.84940000000000004</v>
      </c>
      <c r="M40" s="36">
        <f t="shared" si="0"/>
        <v>70.355702236890366</v>
      </c>
      <c r="N40" s="36">
        <f t="shared" si="0"/>
        <v>90.131578947368425</v>
      </c>
    </row>
    <row r="41" spans="1:14" x14ac:dyDescent="0.15">
      <c r="A41">
        <v>37</v>
      </c>
      <c r="B41">
        <v>228</v>
      </c>
      <c r="C41">
        <v>7.8149999999999997E-2</v>
      </c>
      <c r="D41">
        <v>1306</v>
      </c>
      <c r="E41">
        <v>99.4</v>
      </c>
      <c r="F41">
        <v>283.02</v>
      </c>
      <c r="G41">
        <v>0.3669</v>
      </c>
      <c r="H41">
        <v>0.95889999999999997</v>
      </c>
      <c r="I41">
        <v>1.3658999999999999</v>
      </c>
      <c r="J41">
        <v>0.94569999999999999</v>
      </c>
      <c r="K41">
        <v>0.9607</v>
      </c>
      <c r="L41">
        <v>0.8518</v>
      </c>
      <c r="M41" s="36">
        <f t="shared" si="0"/>
        <v>70.334577933962962</v>
      </c>
      <c r="N41" s="36">
        <f t="shared" si="0"/>
        <v>90.070846991646405</v>
      </c>
    </row>
    <row r="42" spans="1:14" x14ac:dyDescent="0.15">
      <c r="A42">
        <v>38</v>
      </c>
      <c r="B42">
        <v>236</v>
      </c>
      <c r="C42">
        <v>7.5689999999999993E-2</v>
      </c>
      <c r="D42">
        <v>1303</v>
      </c>
      <c r="E42">
        <v>100.77</v>
      </c>
      <c r="F42">
        <v>283.77</v>
      </c>
      <c r="G42">
        <v>0.37130000000000002</v>
      </c>
      <c r="H42">
        <v>0.95940000000000003</v>
      </c>
      <c r="I42">
        <v>1.3683000000000001</v>
      </c>
      <c r="J42">
        <v>0.94899999999999995</v>
      </c>
      <c r="K42">
        <v>0.96220000000000006</v>
      </c>
      <c r="L42">
        <v>0.85429999999999995</v>
      </c>
      <c r="M42" s="36">
        <f t="shared" si="0"/>
        <v>70.320836073960393</v>
      </c>
      <c r="N42" s="36">
        <f t="shared" si="0"/>
        <v>90.021074815595355</v>
      </c>
    </row>
    <row r="43" spans="1:14" x14ac:dyDescent="0.15">
      <c r="A43">
        <v>39</v>
      </c>
      <c r="B43">
        <v>244</v>
      </c>
      <c r="C43">
        <v>7.331E-2</v>
      </c>
      <c r="D43">
        <v>1300</v>
      </c>
      <c r="E43">
        <v>102.15</v>
      </c>
      <c r="F43">
        <v>284.51</v>
      </c>
      <c r="G43">
        <v>0.37569999999999998</v>
      </c>
      <c r="H43">
        <v>0.95989999999999998</v>
      </c>
      <c r="I43">
        <v>1.3707</v>
      </c>
      <c r="J43">
        <v>0.95230000000000004</v>
      </c>
      <c r="K43">
        <v>0.9637</v>
      </c>
      <c r="L43">
        <v>0.85670000000000002</v>
      </c>
      <c r="M43" s="36">
        <f t="shared" si="0"/>
        <v>70.307142336032683</v>
      </c>
      <c r="N43" s="36">
        <f t="shared" si="0"/>
        <v>89.961146697469289</v>
      </c>
    </row>
    <row r="44" spans="1:14" x14ac:dyDescent="0.15">
      <c r="A44">
        <v>40</v>
      </c>
      <c r="B44">
        <v>252</v>
      </c>
      <c r="C44">
        <v>7.1029999999999996E-2</v>
      </c>
      <c r="D44">
        <v>1297</v>
      </c>
      <c r="E44">
        <v>103.52</v>
      </c>
      <c r="F44">
        <v>285.26</v>
      </c>
      <c r="G44">
        <v>0.38</v>
      </c>
      <c r="H44">
        <v>0.96040000000000003</v>
      </c>
      <c r="I44">
        <v>1.3732</v>
      </c>
      <c r="J44">
        <v>0.95569999999999999</v>
      </c>
      <c r="K44">
        <v>0.96519999999999995</v>
      </c>
      <c r="L44">
        <v>0.85919999999999996</v>
      </c>
      <c r="M44" s="36">
        <f t="shared" si="0"/>
        <v>70.288377512379839</v>
      </c>
      <c r="N44" s="36">
        <f t="shared" si="0"/>
        <v>89.902689128387564</v>
      </c>
    </row>
    <row r="45" spans="1:14" x14ac:dyDescent="0.15">
      <c r="A45">
        <v>41</v>
      </c>
      <c r="B45">
        <v>260</v>
      </c>
      <c r="C45">
        <v>6.8830000000000002E-2</v>
      </c>
      <c r="D45">
        <v>1294</v>
      </c>
      <c r="E45">
        <v>104.9</v>
      </c>
      <c r="F45">
        <v>286</v>
      </c>
      <c r="G45">
        <v>0.38440000000000002</v>
      </c>
      <c r="H45">
        <v>0.96089999999999998</v>
      </c>
      <c r="I45">
        <v>1.3756999999999999</v>
      </c>
      <c r="J45">
        <v>0.95909999999999995</v>
      </c>
      <c r="K45">
        <v>0.9667</v>
      </c>
      <c r="L45">
        <v>0.86170000000000002</v>
      </c>
      <c r="M45" s="36">
        <f t="shared" si="0"/>
        <v>70.269680889728875</v>
      </c>
      <c r="N45" s="36">
        <f t="shared" si="0"/>
        <v>89.844646022312588</v>
      </c>
    </row>
    <row r="46" spans="1:14" x14ac:dyDescent="0.15">
      <c r="A46">
        <v>42</v>
      </c>
      <c r="B46">
        <v>269</v>
      </c>
      <c r="C46">
        <v>6.6720000000000002E-2</v>
      </c>
      <c r="D46">
        <v>1291</v>
      </c>
      <c r="E46">
        <v>106.27</v>
      </c>
      <c r="F46">
        <v>286.75</v>
      </c>
      <c r="G46">
        <v>0.38879999999999998</v>
      </c>
      <c r="H46">
        <v>0.96140000000000003</v>
      </c>
      <c r="I46">
        <v>1.3782000000000001</v>
      </c>
      <c r="J46">
        <v>0.96250000000000002</v>
      </c>
      <c r="K46">
        <v>0.96819999999999995</v>
      </c>
      <c r="L46">
        <v>0.86419999999999997</v>
      </c>
      <c r="M46" s="36">
        <f t="shared" si="0"/>
        <v>70.251052096938025</v>
      </c>
      <c r="N46" s="36">
        <f t="shared" si="0"/>
        <v>89.787012987012986</v>
      </c>
    </row>
    <row r="47" spans="1:14" x14ac:dyDescent="0.15">
      <c r="A47">
        <v>43</v>
      </c>
      <c r="B47">
        <v>278</v>
      </c>
      <c r="C47">
        <v>6.4680000000000001E-2</v>
      </c>
      <c r="D47">
        <v>1288</v>
      </c>
      <c r="E47">
        <v>107.66</v>
      </c>
      <c r="F47">
        <v>287.49</v>
      </c>
      <c r="G47">
        <v>0.3931</v>
      </c>
      <c r="H47">
        <v>0.96189999999999998</v>
      </c>
      <c r="I47">
        <v>1.3807</v>
      </c>
      <c r="J47">
        <v>0.96589999999999998</v>
      </c>
      <c r="K47">
        <v>0.96970000000000001</v>
      </c>
      <c r="L47">
        <v>0.86670000000000003</v>
      </c>
      <c r="M47" s="36">
        <f t="shared" si="0"/>
        <v>70.232490765553706</v>
      </c>
      <c r="N47" s="36">
        <f t="shared" si="0"/>
        <v>89.729785692100634</v>
      </c>
    </row>
    <row r="48" spans="1:14" x14ac:dyDescent="0.15">
      <c r="A48">
        <v>44</v>
      </c>
      <c r="B48">
        <v>287</v>
      </c>
      <c r="C48">
        <v>6.2710000000000002E-2</v>
      </c>
      <c r="D48">
        <v>1285</v>
      </c>
      <c r="E48">
        <v>109.04</v>
      </c>
      <c r="F48">
        <v>288.23</v>
      </c>
      <c r="G48">
        <v>0.39750000000000002</v>
      </c>
      <c r="H48">
        <v>0.96250000000000002</v>
      </c>
      <c r="I48">
        <v>1.3832</v>
      </c>
      <c r="J48">
        <v>0.96940000000000004</v>
      </c>
      <c r="K48">
        <v>0.97119999999999995</v>
      </c>
      <c r="L48">
        <v>0.86919999999999997</v>
      </c>
      <c r="M48" s="36">
        <f t="shared" si="0"/>
        <v>70.213996529786002</v>
      </c>
      <c r="N48" s="36">
        <f t="shared" si="0"/>
        <v>89.663709511037752</v>
      </c>
    </row>
    <row r="49" spans="1:14" x14ac:dyDescent="0.15">
      <c r="A49">
        <v>45</v>
      </c>
      <c r="B49">
        <v>296</v>
      </c>
      <c r="C49">
        <v>6.0819999999999999E-2</v>
      </c>
      <c r="D49">
        <v>1282</v>
      </c>
      <c r="E49">
        <v>110.43</v>
      </c>
      <c r="F49">
        <v>288.97000000000003</v>
      </c>
      <c r="G49">
        <v>0.40179999999999999</v>
      </c>
      <c r="H49">
        <v>0.96299999999999997</v>
      </c>
      <c r="I49">
        <v>1.3857999999999999</v>
      </c>
      <c r="J49">
        <v>0.97289999999999999</v>
      </c>
      <c r="K49">
        <v>0.97270000000000001</v>
      </c>
      <c r="L49">
        <v>0.87170000000000003</v>
      </c>
      <c r="M49" s="36">
        <f t="shared" si="0"/>
        <v>70.190503680184733</v>
      </c>
      <c r="N49" s="36">
        <f t="shared" si="0"/>
        <v>89.598108747044918</v>
      </c>
    </row>
    <row r="50" spans="1:14" x14ac:dyDescent="0.15">
      <c r="A50">
        <v>46</v>
      </c>
      <c r="B50">
        <v>305</v>
      </c>
      <c r="C50">
        <v>5.8990000000000001E-2</v>
      </c>
      <c r="D50">
        <v>1280</v>
      </c>
      <c r="E50">
        <v>111.82</v>
      </c>
      <c r="F50">
        <v>289.70999999999998</v>
      </c>
      <c r="G50">
        <v>0.40610000000000002</v>
      </c>
      <c r="H50">
        <v>0.96360000000000001</v>
      </c>
      <c r="I50">
        <v>1.3884000000000001</v>
      </c>
      <c r="J50">
        <v>0.97640000000000005</v>
      </c>
      <c r="K50">
        <v>0.97419999999999995</v>
      </c>
      <c r="L50">
        <v>0.87419999999999998</v>
      </c>
      <c r="M50" s="36">
        <f t="shared" si="0"/>
        <v>70.167098818784197</v>
      </c>
      <c r="N50" s="36">
        <f t="shared" si="0"/>
        <v>89.532978287587056</v>
      </c>
    </row>
    <row r="51" spans="1:14" x14ac:dyDescent="0.15">
      <c r="A51">
        <v>47</v>
      </c>
      <c r="B51">
        <v>315</v>
      </c>
      <c r="C51">
        <v>5.7230000000000003E-2</v>
      </c>
      <c r="D51">
        <v>1277</v>
      </c>
      <c r="E51">
        <v>113.21</v>
      </c>
      <c r="F51">
        <v>290.45</v>
      </c>
      <c r="G51">
        <v>0.41049999999999998</v>
      </c>
      <c r="H51">
        <v>0.96409999999999996</v>
      </c>
      <c r="I51">
        <v>1.391</v>
      </c>
      <c r="J51">
        <v>0.98</v>
      </c>
      <c r="K51">
        <v>0.9758</v>
      </c>
      <c r="L51">
        <v>0.87670000000000003</v>
      </c>
      <c r="M51" s="36">
        <f t="shared" si="0"/>
        <v>70.150970524802304</v>
      </c>
      <c r="N51" s="36">
        <f t="shared" si="0"/>
        <v>89.459183673469383</v>
      </c>
    </row>
    <row r="52" spans="1:14" x14ac:dyDescent="0.15">
      <c r="A52">
        <v>48</v>
      </c>
      <c r="B52">
        <v>325</v>
      </c>
      <c r="C52">
        <v>5.5539999999999999E-2</v>
      </c>
      <c r="D52">
        <v>1274</v>
      </c>
      <c r="E52">
        <v>114.6</v>
      </c>
      <c r="F52">
        <v>291.19</v>
      </c>
      <c r="G52">
        <v>0.4148</v>
      </c>
      <c r="H52">
        <v>0.9647</v>
      </c>
      <c r="I52">
        <v>1.3936999999999999</v>
      </c>
      <c r="J52">
        <v>0.98360000000000003</v>
      </c>
      <c r="K52">
        <v>0.97729999999999995</v>
      </c>
      <c r="L52">
        <v>0.87919999999999998</v>
      </c>
      <c r="M52" s="36">
        <f t="shared" si="0"/>
        <v>70.122694984573442</v>
      </c>
      <c r="N52" s="36">
        <f t="shared" si="0"/>
        <v>89.385929239528267</v>
      </c>
    </row>
    <row r="53" spans="1:14" x14ac:dyDescent="0.15">
      <c r="A53">
        <v>49</v>
      </c>
      <c r="B53">
        <v>335</v>
      </c>
      <c r="C53">
        <v>5.3900000000000003E-2</v>
      </c>
      <c r="D53">
        <v>1271</v>
      </c>
      <c r="E53">
        <v>116</v>
      </c>
      <c r="F53">
        <v>291.93</v>
      </c>
      <c r="G53">
        <v>0.41909999999999997</v>
      </c>
      <c r="H53">
        <v>0.96519999999999995</v>
      </c>
      <c r="I53">
        <v>1.3964000000000001</v>
      </c>
      <c r="J53">
        <v>0.98719999999999997</v>
      </c>
      <c r="K53">
        <v>0.9788</v>
      </c>
      <c r="L53">
        <v>0.88170000000000004</v>
      </c>
      <c r="M53" s="36">
        <f t="shared" si="0"/>
        <v>70.0945287883128</v>
      </c>
      <c r="N53" s="36">
        <f t="shared" si="0"/>
        <v>89.313209076175042</v>
      </c>
    </row>
    <row r="54" spans="1:14" x14ac:dyDescent="0.15">
      <c r="A54">
        <v>50</v>
      </c>
      <c r="B54">
        <v>345</v>
      </c>
      <c r="C54">
        <v>5.2319999999999998E-2</v>
      </c>
      <c r="D54">
        <v>1268</v>
      </c>
      <c r="E54">
        <v>117.4</v>
      </c>
      <c r="F54">
        <v>292.67</v>
      </c>
      <c r="G54">
        <v>0.4234</v>
      </c>
      <c r="H54">
        <v>0.96579999999999999</v>
      </c>
      <c r="I54">
        <v>1.3991</v>
      </c>
      <c r="J54">
        <v>0.99080000000000001</v>
      </c>
      <c r="K54">
        <v>0.98029999999999995</v>
      </c>
      <c r="L54">
        <v>0.88419999999999999</v>
      </c>
      <c r="M54" s="36">
        <f t="shared" si="0"/>
        <v>70.066471302980489</v>
      </c>
      <c r="N54" s="36">
        <f t="shared" si="0"/>
        <v>89.241017359709318</v>
      </c>
    </row>
    <row r="55" spans="1:14" x14ac:dyDescent="0.15">
      <c r="A55">
        <v>51</v>
      </c>
      <c r="B55">
        <v>356</v>
      </c>
      <c r="C55">
        <v>5.0799999999999998E-2</v>
      </c>
      <c r="D55">
        <v>1265</v>
      </c>
      <c r="E55">
        <v>118.8</v>
      </c>
      <c r="F55">
        <v>293.39999999999998</v>
      </c>
      <c r="G55">
        <v>0.42770000000000002</v>
      </c>
      <c r="H55">
        <v>0.96640000000000004</v>
      </c>
      <c r="I55">
        <v>1.4018999999999999</v>
      </c>
      <c r="J55">
        <v>0.99450000000000005</v>
      </c>
      <c r="K55">
        <v>0.9819</v>
      </c>
      <c r="L55">
        <v>0.88680000000000003</v>
      </c>
      <c r="M55" s="36">
        <f t="shared" si="0"/>
        <v>70.040659105499685</v>
      </c>
      <c r="N55" s="36">
        <f t="shared" si="0"/>
        <v>89.170437405731519</v>
      </c>
    </row>
    <row r="56" spans="1:14" x14ac:dyDescent="0.15">
      <c r="A56">
        <v>52</v>
      </c>
      <c r="B56">
        <v>367</v>
      </c>
      <c r="C56">
        <v>4.9329999999999999E-2</v>
      </c>
      <c r="D56">
        <v>1262</v>
      </c>
      <c r="E56">
        <v>120.21</v>
      </c>
      <c r="F56">
        <v>294.14</v>
      </c>
      <c r="G56">
        <v>0.432</v>
      </c>
      <c r="H56">
        <v>0.96699999999999997</v>
      </c>
      <c r="I56">
        <v>1.4046000000000001</v>
      </c>
      <c r="J56">
        <v>0.99819999999999998</v>
      </c>
      <c r="K56">
        <v>0.98340000000000005</v>
      </c>
      <c r="L56">
        <v>0.88929999999999998</v>
      </c>
      <c r="M56" s="36">
        <f t="shared" si="0"/>
        <v>70.012815036309277</v>
      </c>
      <c r="N56" s="36">
        <f t="shared" si="0"/>
        <v>89.090362652774985</v>
      </c>
    </row>
    <row r="57" spans="1:14" x14ac:dyDescent="0.15">
      <c r="A57">
        <v>53</v>
      </c>
      <c r="B57">
        <v>378</v>
      </c>
      <c r="C57">
        <v>4.7910000000000001E-2</v>
      </c>
      <c r="D57">
        <v>1259</v>
      </c>
      <c r="E57">
        <v>121.61</v>
      </c>
      <c r="F57">
        <v>294.87</v>
      </c>
      <c r="G57">
        <v>0.43630000000000002</v>
      </c>
      <c r="H57">
        <v>0.96760000000000002</v>
      </c>
      <c r="I57">
        <v>1.4074</v>
      </c>
      <c r="J57">
        <v>1.002</v>
      </c>
      <c r="K57">
        <v>0.98499999999999999</v>
      </c>
      <c r="L57">
        <v>0.89180000000000004</v>
      </c>
      <c r="M57" s="36">
        <f t="shared" si="0"/>
        <v>69.987210459002412</v>
      </c>
      <c r="N57" s="36">
        <f t="shared" si="0"/>
        <v>89.001996007984033</v>
      </c>
    </row>
    <row r="58" spans="1:14" x14ac:dyDescent="0.15">
      <c r="A58">
        <v>54</v>
      </c>
      <c r="B58">
        <v>390</v>
      </c>
      <c r="C58">
        <v>4.6530000000000002E-2</v>
      </c>
      <c r="D58">
        <v>1256</v>
      </c>
      <c r="E58">
        <v>123.02</v>
      </c>
      <c r="F58">
        <v>295.60000000000002</v>
      </c>
      <c r="G58">
        <v>0.44059999999999999</v>
      </c>
      <c r="H58">
        <v>0.96809999999999996</v>
      </c>
      <c r="I58">
        <v>1.4103000000000001</v>
      </c>
      <c r="J58">
        <v>1.0058</v>
      </c>
      <c r="K58">
        <v>0.98650000000000004</v>
      </c>
      <c r="L58">
        <v>0.89439999999999997</v>
      </c>
      <c r="M58" s="36">
        <f t="shared" si="0"/>
        <v>69.949656101538679</v>
      </c>
      <c r="N58" s="36">
        <f t="shared" si="0"/>
        <v>88.924239411413794</v>
      </c>
    </row>
    <row r="59" spans="1:14" x14ac:dyDescent="0.15">
      <c r="A59">
        <v>55</v>
      </c>
      <c r="B59">
        <v>401</v>
      </c>
      <c r="C59">
        <v>4.521E-2</v>
      </c>
      <c r="D59">
        <v>1253</v>
      </c>
      <c r="E59">
        <v>124.44</v>
      </c>
      <c r="F59">
        <v>296.33999999999997</v>
      </c>
      <c r="G59">
        <v>0.44490000000000002</v>
      </c>
      <c r="H59">
        <v>0.96870000000000001</v>
      </c>
      <c r="I59">
        <v>1.4132</v>
      </c>
      <c r="J59">
        <v>1.0096000000000001</v>
      </c>
      <c r="K59">
        <v>0.98809999999999998</v>
      </c>
      <c r="L59">
        <v>0.89690000000000003</v>
      </c>
      <c r="M59" s="36">
        <f t="shared" si="0"/>
        <v>69.919332012454007</v>
      </c>
      <c r="N59" s="36">
        <f t="shared" si="0"/>
        <v>88.837163232963547</v>
      </c>
    </row>
    <row r="60" spans="1:14" x14ac:dyDescent="0.15">
      <c r="A60">
        <v>56</v>
      </c>
      <c r="B60">
        <v>413</v>
      </c>
      <c r="C60">
        <v>4.3929999999999997E-2</v>
      </c>
      <c r="D60">
        <v>1249</v>
      </c>
      <c r="E60">
        <v>125.85</v>
      </c>
      <c r="F60">
        <v>297.07</v>
      </c>
      <c r="G60">
        <v>0.44919999999999999</v>
      </c>
      <c r="H60">
        <v>0.96930000000000005</v>
      </c>
      <c r="I60">
        <v>1.4160999999999999</v>
      </c>
      <c r="J60">
        <v>1.0135000000000001</v>
      </c>
      <c r="K60">
        <v>0.98960000000000004</v>
      </c>
      <c r="L60">
        <v>0.89949999999999997</v>
      </c>
      <c r="M60" s="36">
        <f t="shared" si="0"/>
        <v>69.882070475248923</v>
      </c>
      <c r="N60" s="36">
        <f t="shared" si="0"/>
        <v>88.751850024666993</v>
      </c>
    </row>
    <row r="61" spans="1:14" x14ac:dyDescent="0.15">
      <c r="A61">
        <v>57</v>
      </c>
      <c r="B61">
        <v>425</v>
      </c>
      <c r="C61">
        <v>4.2689999999999999E-2</v>
      </c>
      <c r="D61">
        <v>1246</v>
      </c>
      <c r="E61">
        <v>127.27</v>
      </c>
      <c r="F61">
        <v>297.79000000000002</v>
      </c>
      <c r="G61">
        <v>0.45350000000000001</v>
      </c>
      <c r="H61">
        <v>0.97</v>
      </c>
      <c r="I61">
        <v>1.419</v>
      </c>
      <c r="J61">
        <v>1.0174000000000001</v>
      </c>
      <c r="K61">
        <v>0.99119999999999997</v>
      </c>
      <c r="L61">
        <v>0.90210000000000001</v>
      </c>
      <c r="M61" s="36">
        <f t="shared" si="0"/>
        <v>69.852008456659618</v>
      </c>
      <c r="N61" s="36">
        <f t="shared" si="0"/>
        <v>88.667190878710429</v>
      </c>
    </row>
    <row r="62" spans="1:14" x14ac:dyDescent="0.15">
      <c r="A62">
        <v>58</v>
      </c>
      <c r="B62">
        <v>438</v>
      </c>
      <c r="C62">
        <v>4.1489999999999999E-2</v>
      </c>
      <c r="D62">
        <v>1243</v>
      </c>
      <c r="E62">
        <v>128.69</v>
      </c>
      <c r="F62">
        <v>298.52</v>
      </c>
      <c r="G62">
        <v>0.4577</v>
      </c>
      <c r="H62">
        <v>0.97060000000000002</v>
      </c>
      <c r="I62">
        <v>1.4219999999999999</v>
      </c>
      <c r="J62">
        <v>1.0213000000000001</v>
      </c>
      <c r="K62">
        <v>0.99270000000000003</v>
      </c>
      <c r="L62">
        <v>0.90459999999999996</v>
      </c>
      <c r="M62" s="36">
        <f t="shared" si="0"/>
        <v>69.810126582278485</v>
      </c>
      <c r="N62" s="36">
        <f t="shared" si="0"/>
        <v>88.573386859884451</v>
      </c>
    </row>
    <row r="63" spans="1:14" x14ac:dyDescent="0.15">
      <c r="A63">
        <v>59</v>
      </c>
      <c r="B63">
        <v>451</v>
      </c>
      <c r="C63">
        <v>4.0340000000000001E-2</v>
      </c>
      <c r="D63">
        <v>1240</v>
      </c>
      <c r="E63">
        <v>130.12</v>
      </c>
      <c r="F63">
        <v>299.25</v>
      </c>
      <c r="G63">
        <v>0.46200000000000002</v>
      </c>
      <c r="H63">
        <v>0.97119999999999995</v>
      </c>
      <c r="I63">
        <v>1.425</v>
      </c>
      <c r="J63">
        <v>1.0253000000000001</v>
      </c>
      <c r="K63">
        <v>0.99429999999999996</v>
      </c>
      <c r="L63">
        <v>0.90720000000000001</v>
      </c>
      <c r="M63" s="36">
        <f t="shared" si="0"/>
        <v>69.775438596491227</v>
      </c>
      <c r="N63" s="36">
        <f t="shared" si="0"/>
        <v>88.481420072173989</v>
      </c>
    </row>
    <row r="64" spans="1:14" x14ac:dyDescent="0.15">
      <c r="A64">
        <v>60</v>
      </c>
      <c r="B64">
        <v>464</v>
      </c>
      <c r="C64">
        <v>3.9219999999999998E-2</v>
      </c>
      <c r="D64">
        <v>1237</v>
      </c>
      <c r="E64">
        <v>131.55000000000001</v>
      </c>
      <c r="F64">
        <v>299.97000000000003</v>
      </c>
      <c r="G64">
        <v>0.46629999999999999</v>
      </c>
      <c r="H64">
        <v>0.9718</v>
      </c>
      <c r="I64">
        <v>1.4280999999999999</v>
      </c>
      <c r="J64">
        <v>1.0294000000000001</v>
      </c>
      <c r="K64">
        <v>0.99590000000000001</v>
      </c>
      <c r="L64">
        <v>0.90980000000000005</v>
      </c>
      <c r="M64" s="36">
        <f t="shared" si="0"/>
        <v>69.736012884251807</v>
      </c>
      <c r="N64" s="36">
        <f t="shared" si="0"/>
        <v>88.38158150378861</v>
      </c>
    </row>
    <row r="65" spans="1:14" x14ac:dyDescent="0.15">
      <c r="A65">
        <v>61</v>
      </c>
      <c r="B65">
        <v>477</v>
      </c>
      <c r="C65">
        <v>3.814E-2</v>
      </c>
      <c r="D65">
        <v>1234</v>
      </c>
      <c r="E65">
        <v>132.97999999999999</v>
      </c>
      <c r="F65">
        <v>300.7</v>
      </c>
      <c r="G65">
        <v>0.47049999999999997</v>
      </c>
      <c r="H65">
        <v>0.97240000000000004</v>
      </c>
      <c r="I65">
        <v>1.4312</v>
      </c>
      <c r="J65">
        <v>1.0334000000000001</v>
      </c>
      <c r="K65">
        <v>0.99739999999999995</v>
      </c>
      <c r="L65">
        <v>0.91239999999999999</v>
      </c>
      <c r="M65" s="36">
        <f t="shared" si="0"/>
        <v>69.689770821688086</v>
      </c>
      <c r="N65" s="36">
        <f t="shared" si="0"/>
        <v>88.291077994968063</v>
      </c>
    </row>
    <row r="66" spans="1:14" x14ac:dyDescent="0.15">
      <c r="A66">
        <v>62</v>
      </c>
      <c r="B66">
        <v>490</v>
      </c>
      <c r="C66">
        <v>3.7089999999999998E-2</v>
      </c>
      <c r="D66">
        <v>1231</v>
      </c>
      <c r="E66">
        <v>134.41</v>
      </c>
      <c r="F66">
        <v>301.42</v>
      </c>
      <c r="G66">
        <v>0.4748</v>
      </c>
      <c r="H66">
        <v>0.97309999999999997</v>
      </c>
      <c r="I66">
        <v>1.4342999999999999</v>
      </c>
      <c r="J66">
        <v>1.0376000000000001</v>
      </c>
      <c r="K66">
        <v>0.999</v>
      </c>
      <c r="L66">
        <v>0.91500000000000004</v>
      </c>
      <c r="M66" s="36">
        <f t="shared" si="0"/>
        <v>69.650700690232171</v>
      </c>
      <c r="N66" s="36">
        <f t="shared" si="0"/>
        <v>88.184271395528128</v>
      </c>
    </row>
    <row r="67" spans="1:14" x14ac:dyDescent="0.15">
      <c r="A67">
        <v>63</v>
      </c>
      <c r="B67">
        <v>504</v>
      </c>
      <c r="C67">
        <v>3.6080000000000001E-2</v>
      </c>
      <c r="D67">
        <v>1228</v>
      </c>
      <c r="E67">
        <v>135.85</v>
      </c>
      <c r="F67">
        <v>302.14</v>
      </c>
      <c r="G67">
        <v>0.47899999999999998</v>
      </c>
      <c r="H67">
        <v>0.97370000000000001</v>
      </c>
      <c r="I67">
        <v>1.4375</v>
      </c>
      <c r="J67">
        <v>1.0417000000000001</v>
      </c>
      <c r="K67">
        <v>1.0005999999999999</v>
      </c>
      <c r="L67">
        <v>0.91759999999999997</v>
      </c>
      <c r="M67" s="36">
        <f t="shared" si="0"/>
        <v>69.606956521739122</v>
      </c>
      <c r="N67" s="36">
        <f t="shared" si="0"/>
        <v>88.086781223000855</v>
      </c>
    </row>
    <row r="68" spans="1:14" x14ac:dyDescent="0.15">
      <c r="A68">
        <v>64</v>
      </c>
      <c r="B68">
        <v>518</v>
      </c>
      <c r="C68">
        <v>3.5090000000000003E-2</v>
      </c>
      <c r="D68">
        <v>1224</v>
      </c>
      <c r="E68">
        <v>137.29</v>
      </c>
      <c r="F68">
        <v>302.86</v>
      </c>
      <c r="G68">
        <v>0.48330000000000001</v>
      </c>
      <c r="H68">
        <v>0.97430000000000005</v>
      </c>
      <c r="I68">
        <v>1.4407000000000001</v>
      </c>
      <c r="J68">
        <v>1.0459000000000001</v>
      </c>
      <c r="K68">
        <v>1.0022</v>
      </c>
      <c r="L68">
        <v>0.92020000000000002</v>
      </c>
      <c r="M68" s="36">
        <f t="shared" si="0"/>
        <v>69.563406677309629</v>
      </c>
      <c r="N68" s="36">
        <f t="shared" si="0"/>
        <v>87.981642604455487</v>
      </c>
    </row>
    <row r="69" spans="1:14" x14ac:dyDescent="0.15">
      <c r="A69">
        <v>65</v>
      </c>
      <c r="B69">
        <v>533</v>
      </c>
      <c r="C69">
        <v>3.415E-2</v>
      </c>
      <c r="D69">
        <v>1221</v>
      </c>
      <c r="E69">
        <v>138.72999999999999</v>
      </c>
      <c r="F69">
        <v>303.57</v>
      </c>
      <c r="G69">
        <v>0.48749999999999999</v>
      </c>
      <c r="H69">
        <v>0.97499999999999998</v>
      </c>
      <c r="I69">
        <v>1.444</v>
      </c>
      <c r="J69">
        <v>1.0502</v>
      </c>
      <c r="K69">
        <v>1.0038</v>
      </c>
      <c r="L69">
        <v>0.92279999999999995</v>
      </c>
      <c r="M69" s="36">
        <f t="shared" ref="M69:N104" si="1">K69/I69*100</f>
        <v>69.515235457063724</v>
      </c>
      <c r="N69" s="36">
        <f t="shared" si="1"/>
        <v>87.868977337649966</v>
      </c>
    </row>
    <row r="70" spans="1:14" x14ac:dyDescent="0.15">
      <c r="A70">
        <v>66</v>
      </c>
      <c r="B70">
        <v>548</v>
      </c>
      <c r="C70">
        <v>3.3230000000000003E-2</v>
      </c>
      <c r="D70">
        <v>1218</v>
      </c>
      <c r="E70">
        <v>140.18</v>
      </c>
      <c r="F70">
        <v>304.29000000000002</v>
      </c>
      <c r="G70">
        <v>0.49170000000000003</v>
      </c>
      <c r="H70">
        <v>0.97560000000000002</v>
      </c>
      <c r="I70">
        <v>1.4473</v>
      </c>
      <c r="J70">
        <v>1.0545</v>
      </c>
      <c r="K70">
        <v>1.0054000000000001</v>
      </c>
      <c r="L70">
        <v>0.9254</v>
      </c>
      <c r="M70" s="36">
        <f t="shared" si="1"/>
        <v>69.467283907966561</v>
      </c>
      <c r="N70" s="36">
        <f t="shared" si="1"/>
        <v>87.757230915125646</v>
      </c>
    </row>
    <row r="71" spans="1:14" x14ac:dyDescent="0.15">
      <c r="A71">
        <v>67</v>
      </c>
      <c r="B71">
        <v>563</v>
      </c>
      <c r="C71">
        <v>3.2329999999999998E-2</v>
      </c>
      <c r="D71">
        <v>1215</v>
      </c>
      <c r="E71">
        <v>141.63</v>
      </c>
      <c r="F71">
        <v>305</v>
      </c>
      <c r="G71">
        <v>0.496</v>
      </c>
      <c r="H71">
        <v>0.97629999999999995</v>
      </c>
      <c r="I71">
        <v>1.4507000000000001</v>
      </c>
      <c r="J71">
        <v>1.0589</v>
      </c>
      <c r="K71">
        <v>1.0069999999999999</v>
      </c>
      <c r="L71">
        <v>0.92810000000000004</v>
      </c>
      <c r="M71" s="36">
        <f t="shared" si="1"/>
        <v>69.414765285724116</v>
      </c>
      <c r="N71" s="36">
        <f t="shared" si="1"/>
        <v>87.64755878742092</v>
      </c>
    </row>
    <row r="72" spans="1:14" x14ac:dyDescent="0.15">
      <c r="A72">
        <v>68</v>
      </c>
      <c r="B72">
        <v>578</v>
      </c>
      <c r="C72">
        <v>3.1469999999999998E-2</v>
      </c>
      <c r="D72">
        <v>1211</v>
      </c>
      <c r="E72">
        <v>143.08000000000001</v>
      </c>
      <c r="F72">
        <v>305.70999999999998</v>
      </c>
      <c r="G72">
        <v>0.50019999999999998</v>
      </c>
      <c r="H72">
        <v>0.97689999999999999</v>
      </c>
      <c r="I72">
        <v>1.4540999999999999</v>
      </c>
      <c r="J72">
        <v>1.0632999999999999</v>
      </c>
      <c r="K72">
        <v>1.0085999999999999</v>
      </c>
      <c r="L72">
        <v>0.93069999999999997</v>
      </c>
      <c r="M72" s="36">
        <f t="shared" si="1"/>
        <v>69.362492263255618</v>
      </c>
      <c r="N72" s="36">
        <f t="shared" si="1"/>
        <v>87.529389636038758</v>
      </c>
    </row>
    <row r="73" spans="1:14" x14ac:dyDescent="0.15">
      <c r="A73">
        <v>69</v>
      </c>
      <c r="B73">
        <v>594</v>
      </c>
      <c r="C73">
        <v>3.0640000000000001E-2</v>
      </c>
      <c r="D73">
        <v>1208</v>
      </c>
      <c r="E73">
        <v>144.54</v>
      </c>
      <c r="F73">
        <v>306.42</v>
      </c>
      <c r="G73">
        <v>0.50439999999999996</v>
      </c>
      <c r="H73">
        <v>0.97760000000000002</v>
      </c>
      <c r="I73">
        <v>1.4575</v>
      </c>
      <c r="J73">
        <v>1.0678000000000001</v>
      </c>
      <c r="K73">
        <v>1.0102</v>
      </c>
      <c r="L73">
        <v>0.93340000000000001</v>
      </c>
      <c r="M73" s="36">
        <f t="shared" si="1"/>
        <v>69.310463121783869</v>
      </c>
      <c r="N73" s="36">
        <f t="shared" si="1"/>
        <v>87.41337329087844</v>
      </c>
    </row>
    <row r="74" spans="1:14" x14ac:dyDescent="0.15">
      <c r="A74">
        <v>70</v>
      </c>
      <c r="B74">
        <v>610</v>
      </c>
      <c r="C74">
        <v>2.9829999999999999E-2</v>
      </c>
      <c r="D74">
        <v>1205</v>
      </c>
      <c r="E74">
        <v>146</v>
      </c>
      <c r="F74">
        <v>307.13</v>
      </c>
      <c r="G74">
        <v>0.50860000000000005</v>
      </c>
      <c r="H74">
        <v>0.97819999999999996</v>
      </c>
      <c r="I74">
        <v>1.4611000000000001</v>
      </c>
      <c r="J74">
        <v>1.0724</v>
      </c>
      <c r="K74">
        <v>1.0118</v>
      </c>
      <c r="L74">
        <v>0.93600000000000005</v>
      </c>
      <c r="M74" s="36">
        <f t="shared" si="1"/>
        <v>69.249195811374989</v>
      </c>
      <c r="N74" s="36">
        <f t="shared" si="1"/>
        <v>87.280865348750467</v>
      </c>
    </row>
    <row r="75" spans="1:14" x14ac:dyDescent="0.15">
      <c r="A75">
        <v>71</v>
      </c>
      <c r="B75">
        <v>626</v>
      </c>
      <c r="C75">
        <v>2.904E-2</v>
      </c>
      <c r="D75">
        <v>1201</v>
      </c>
      <c r="E75">
        <v>147.46</v>
      </c>
      <c r="F75">
        <v>307.83999999999997</v>
      </c>
      <c r="G75">
        <v>0.51290000000000002</v>
      </c>
      <c r="H75">
        <v>0.97889999999999999</v>
      </c>
      <c r="I75">
        <v>1.4645999999999999</v>
      </c>
      <c r="J75">
        <v>1.077</v>
      </c>
      <c r="K75">
        <v>1.0134000000000001</v>
      </c>
      <c r="L75">
        <v>0.93869999999999998</v>
      </c>
      <c r="M75" s="36">
        <f t="shared" si="1"/>
        <v>69.19295370749694</v>
      </c>
      <c r="N75" s="36">
        <f t="shared" si="1"/>
        <v>87.15877437325905</v>
      </c>
    </row>
    <row r="76" spans="1:14" x14ac:dyDescent="0.15">
      <c r="A76">
        <v>72</v>
      </c>
      <c r="B76">
        <v>643</v>
      </c>
      <c r="C76">
        <v>2.828E-2</v>
      </c>
      <c r="D76">
        <v>1198</v>
      </c>
      <c r="E76">
        <v>148.93</v>
      </c>
      <c r="F76">
        <v>308.54000000000002</v>
      </c>
      <c r="G76">
        <v>0.5171</v>
      </c>
      <c r="H76">
        <v>0.97950000000000004</v>
      </c>
      <c r="I76">
        <v>1.4681999999999999</v>
      </c>
      <c r="J76">
        <v>1.0817000000000001</v>
      </c>
      <c r="K76">
        <v>1.0149999999999999</v>
      </c>
      <c r="L76">
        <v>0.94130000000000003</v>
      </c>
      <c r="M76" s="36">
        <f t="shared" si="1"/>
        <v>69.132270807791855</v>
      </c>
      <c r="N76" s="36">
        <f t="shared" si="1"/>
        <v>87.020430803365073</v>
      </c>
    </row>
    <row r="77" spans="1:14" x14ac:dyDescent="0.15">
      <c r="A77">
        <v>73</v>
      </c>
      <c r="B77">
        <v>660</v>
      </c>
      <c r="C77">
        <v>2.7539999999999999E-2</v>
      </c>
      <c r="D77">
        <v>1195</v>
      </c>
      <c r="E77">
        <v>150.4</v>
      </c>
      <c r="F77">
        <v>309.24</v>
      </c>
      <c r="G77">
        <v>0.52129999999999999</v>
      </c>
      <c r="H77">
        <v>0.98019999999999996</v>
      </c>
      <c r="I77">
        <v>1.4719</v>
      </c>
      <c r="J77">
        <v>1.0864</v>
      </c>
      <c r="K77">
        <v>1.0165999999999999</v>
      </c>
      <c r="L77">
        <v>0.94399999999999995</v>
      </c>
      <c r="M77" s="36">
        <f t="shared" si="1"/>
        <v>69.067192064678309</v>
      </c>
      <c r="N77" s="36">
        <f t="shared" si="1"/>
        <v>86.892488954344614</v>
      </c>
    </row>
    <row r="78" spans="1:14" x14ac:dyDescent="0.15">
      <c r="A78">
        <v>74</v>
      </c>
      <c r="B78">
        <v>677</v>
      </c>
      <c r="C78">
        <v>2.682E-2</v>
      </c>
      <c r="D78">
        <v>1191</v>
      </c>
      <c r="E78">
        <v>151.87</v>
      </c>
      <c r="F78">
        <v>309.94</v>
      </c>
      <c r="G78">
        <v>0.52549999999999997</v>
      </c>
      <c r="H78">
        <v>0.98080000000000001</v>
      </c>
      <c r="I78">
        <v>1.4756</v>
      </c>
      <c r="J78">
        <v>1.0911999999999999</v>
      </c>
      <c r="K78">
        <v>1.0183</v>
      </c>
      <c r="L78">
        <v>0.94669999999999999</v>
      </c>
      <c r="M78" s="36">
        <f t="shared" si="1"/>
        <v>69.009216589861751</v>
      </c>
      <c r="N78" s="36">
        <f t="shared" si="1"/>
        <v>86.757697947214069</v>
      </c>
    </row>
    <row r="79" spans="1:14" x14ac:dyDescent="0.15">
      <c r="A79">
        <v>75</v>
      </c>
      <c r="B79">
        <v>695</v>
      </c>
      <c r="C79">
        <v>2.613E-2</v>
      </c>
      <c r="D79">
        <v>1188</v>
      </c>
      <c r="E79">
        <v>153.35</v>
      </c>
      <c r="F79">
        <v>310.64</v>
      </c>
      <c r="G79">
        <v>0.52969999999999995</v>
      </c>
      <c r="H79">
        <v>0.98150000000000004</v>
      </c>
      <c r="I79">
        <v>1.4794</v>
      </c>
      <c r="J79">
        <v>1.0961000000000001</v>
      </c>
      <c r="K79">
        <v>1.0199</v>
      </c>
      <c r="L79">
        <v>0.94940000000000002</v>
      </c>
      <c r="M79" s="36">
        <f t="shared" si="1"/>
        <v>68.940110855752337</v>
      </c>
      <c r="N79" s="36">
        <f t="shared" si="1"/>
        <v>86.616184654684787</v>
      </c>
    </row>
    <row r="80" spans="1:14" x14ac:dyDescent="0.15">
      <c r="A80">
        <v>76</v>
      </c>
      <c r="B80">
        <v>713</v>
      </c>
      <c r="C80">
        <v>2.545E-2</v>
      </c>
      <c r="D80">
        <v>1184</v>
      </c>
      <c r="E80">
        <v>154.83000000000001</v>
      </c>
      <c r="F80">
        <v>311.33</v>
      </c>
      <c r="G80">
        <v>0.53390000000000004</v>
      </c>
      <c r="H80">
        <v>0.98209999999999997</v>
      </c>
      <c r="I80">
        <v>1.4833000000000001</v>
      </c>
      <c r="J80">
        <v>1.1011</v>
      </c>
      <c r="K80">
        <v>1.0215000000000001</v>
      </c>
      <c r="L80">
        <v>0.95209999999999995</v>
      </c>
      <c r="M80" s="36">
        <f t="shared" si="1"/>
        <v>68.866716105979904</v>
      </c>
      <c r="N80" s="36">
        <f t="shared" si="1"/>
        <v>86.468077377168285</v>
      </c>
    </row>
    <row r="81" spans="1:14" x14ac:dyDescent="0.15">
      <c r="A81">
        <v>77</v>
      </c>
      <c r="B81">
        <v>732</v>
      </c>
      <c r="C81">
        <v>2.4799999999999999E-2</v>
      </c>
      <c r="D81">
        <v>1181</v>
      </c>
      <c r="E81">
        <v>156.31</v>
      </c>
      <c r="F81">
        <v>312.02</v>
      </c>
      <c r="G81">
        <v>0.53810000000000002</v>
      </c>
      <c r="H81">
        <v>0.98280000000000001</v>
      </c>
      <c r="I81">
        <v>1.4872000000000001</v>
      </c>
      <c r="J81">
        <v>1.1061000000000001</v>
      </c>
      <c r="K81">
        <v>1.0232000000000001</v>
      </c>
      <c r="L81">
        <v>0.95479999999999998</v>
      </c>
      <c r="M81" s="36">
        <f t="shared" si="1"/>
        <v>68.800430338891886</v>
      </c>
      <c r="N81" s="36">
        <f t="shared" si="1"/>
        <v>86.321309104059296</v>
      </c>
    </row>
    <row r="82" spans="1:14" x14ac:dyDescent="0.15">
      <c r="A82">
        <v>78</v>
      </c>
      <c r="B82">
        <v>750</v>
      </c>
      <c r="C82">
        <v>2.4160000000000001E-2</v>
      </c>
      <c r="D82">
        <v>1177</v>
      </c>
      <c r="E82">
        <v>157.80000000000001</v>
      </c>
      <c r="F82">
        <v>312.70999999999998</v>
      </c>
      <c r="G82">
        <v>0.5423</v>
      </c>
      <c r="H82">
        <v>0.98350000000000004</v>
      </c>
      <c r="I82">
        <v>1.4912000000000001</v>
      </c>
      <c r="J82">
        <v>1.1112</v>
      </c>
      <c r="K82">
        <v>1.0247999999999999</v>
      </c>
      <c r="L82">
        <v>0.95750000000000002</v>
      </c>
      <c r="M82" s="36">
        <f t="shared" si="1"/>
        <v>68.723175965665234</v>
      </c>
      <c r="N82" s="36">
        <f t="shared" si="1"/>
        <v>86.168106551475887</v>
      </c>
    </row>
    <row r="83" spans="1:14" x14ac:dyDescent="0.15">
      <c r="A83">
        <v>79</v>
      </c>
      <c r="B83">
        <v>769</v>
      </c>
      <c r="C83">
        <v>2.3550000000000001E-2</v>
      </c>
      <c r="D83">
        <v>1174</v>
      </c>
      <c r="E83">
        <v>159.29</v>
      </c>
      <c r="F83">
        <v>313.39999999999998</v>
      </c>
      <c r="G83">
        <v>0.54649999999999999</v>
      </c>
      <c r="H83">
        <v>0.98409999999999997</v>
      </c>
      <c r="I83">
        <v>1.4953000000000001</v>
      </c>
      <c r="J83">
        <v>1.1164000000000001</v>
      </c>
      <c r="K83">
        <v>1.0265</v>
      </c>
      <c r="L83">
        <v>0.96020000000000005</v>
      </c>
      <c r="M83" s="36">
        <f t="shared" si="1"/>
        <v>68.648431752825516</v>
      </c>
      <c r="N83" s="36">
        <f t="shared" si="1"/>
        <v>86.008599068434251</v>
      </c>
    </row>
    <row r="84" spans="1:14" x14ac:dyDescent="0.15">
      <c r="A84">
        <v>80</v>
      </c>
      <c r="B84">
        <v>789</v>
      </c>
      <c r="C84">
        <v>2.2950000000000002E-2</v>
      </c>
      <c r="D84">
        <v>1170</v>
      </c>
      <c r="E84">
        <v>160.79</v>
      </c>
      <c r="F84">
        <v>314.08</v>
      </c>
      <c r="G84">
        <v>0.55069999999999997</v>
      </c>
      <c r="H84">
        <v>0.98480000000000001</v>
      </c>
      <c r="I84">
        <v>1.4994000000000001</v>
      </c>
      <c r="J84">
        <v>1.1216999999999999</v>
      </c>
      <c r="K84">
        <v>1.0282</v>
      </c>
      <c r="L84">
        <v>0.96299999999999997</v>
      </c>
      <c r="M84" s="36">
        <f t="shared" si="1"/>
        <v>68.574096305188732</v>
      </c>
      <c r="N84" s="36">
        <f t="shared" si="1"/>
        <v>85.851832040652582</v>
      </c>
    </row>
    <row r="85" spans="1:14" x14ac:dyDescent="0.15">
      <c r="A85">
        <v>81</v>
      </c>
      <c r="B85">
        <v>809</v>
      </c>
      <c r="C85">
        <v>2.2370000000000001E-2</v>
      </c>
      <c r="D85">
        <v>1167</v>
      </c>
      <c r="E85">
        <v>162.29</v>
      </c>
      <c r="F85">
        <v>314.77</v>
      </c>
      <c r="G85">
        <v>0.55489999999999995</v>
      </c>
      <c r="H85">
        <v>0.98540000000000005</v>
      </c>
      <c r="I85">
        <v>1.5036</v>
      </c>
      <c r="J85">
        <v>1.1271</v>
      </c>
      <c r="K85">
        <v>1.0298</v>
      </c>
      <c r="L85">
        <v>0.9657</v>
      </c>
      <c r="M85" s="36">
        <f t="shared" si="1"/>
        <v>68.488959829741958</v>
      </c>
      <c r="N85" s="36">
        <f t="shared" si="1"/>
        <v>85.680063880755924</v>
      </c>
    </row>
    <row r="86" spans="1:14" x14ac:dyDescent="0.15">
      <c r="A86">
        <v>82</v>
      </c>
      <c r="B86">
        <v>829</v>
      </c>
      <c r="C86">
        <v>2.18E-2</v>
      </c>
      <c r="D86">
        <v>1163</v>
      </c>
      <c r="E86">
        <v>163.79</v>
      </c>
      <c r="F86">
        <v>315.44</v>
      </c>
      <c r="G86">
        <v>0.55910000000000004</v>
      </c>
      <c r="H86">
        <v>0.98609999999999998</v>
      </c>
      <c r="I86">
        <v>1.5079</v>
      </c>
      <c r="J86">
        <v>1.1326000000000001</v>
      </c>
      <c r="K86">
        <v>1.0315000000000001</v>
      </c>
      <c r="L86">
        <v>0.96850000000000003</v>
      </c>
      <c r="M86" s="36">
        <f t="shared" si="1"/>
        <v>68.406392996883085</v>
      </c>
      <c r="N86" s="36">
        <f t="shared" si="1"/>
        <v>85.511213137912762</v>
      </c>
    </row>
    <row r="87" spans="1:14" x14ac:dyDescent="0.15">
      <c r="A87">
        <v>83</v>
      </c>
      <c r="B87">
        <v>849</v>
      </c>
      <c r="C87">
        <v>2.1250000000000002E-2</v>
      </c>
      <c r="D87">
        <v>1159</v>
      </c>
      <c r="E87">
        <v>165.3</v>
      </c>
      <c r="F87">
        <v>316.12</v>
      </c>
      <c r="G87">
        <v>0.56330000000000002</v>
      </c>
      <c r="H87">
        <v>0.98670000000000002</v>
      </c>
      <c r="I87">
        <v>1.5123</v>
      </c>
      <c r="J87">
        <v>1.1382000000000001</v>
      </c>
      <c r="K87">
        <v>1.0331999999999999</v>
      </c>
      <c r="L87">
        <v>0.97119999999999995</v>
      </c>
      <c r="M87" s="36">
        <f t="shared" si="1"/>
        <v>68.31977782186074</v>
      </c>
      <c r="N87" s="36">
        <f t="shared" si="1"/>
        <v>85.327710419961335</v>
      </c>
    </row>
    <row r="88" spans="1:14" x14ac:dyDescent="0.15">
      <c r="A88">
        <v>84</v>
      </c>
      <c r="B88">
        <v>870</v>
      </c>
      <c r="C88">
        <v>2.0719999999999999E-2</v>
      </c>
      <c r="D88">
        <v>1156</v>
      </c>
      <c r="E88">
        <v>166.81</v>
      </c>
      <c r="F88">
        <v>316.79000000000002</v>
      </c>
      <c r="G88">
        <v>0.56740000000000002</v>
      </c>
      <c r="H88">
        <v>0.98740000000000006</v>
      </c>
      <c r="I88">
        <v>1.5166999999999999</v>
      </c>
      <c r="J88">
        <v>1.1438999999999999</v>
      </c>
      <c r="K88">
        <v>1.0348999999999999</v>
      </c>
      <c r="L88">
        <v>0.97399999999999998</v>
      </c>
      <c r="M88" s="36">
        <f t="shared" si="1"/>
        <v>68.23366519417155</v>
      </c>
      <c r="N88" s="36">
        <f t="shared" si="1"/>
        <v>85.147303085934084</v>
      </c>
    </row>
    <row r="89" spans="1:14" x14ac:dyDescent="0.15">
      <c r="A89">
        <v>85</v>
      </c>
      <c r="B89">
        <v>892</v>
      </c>
      <c r="C89">
        <v>2.0199999999999999E-2</v>
      </c>
      <c r="D89">
        <v>1152</v>
      </c>
      <c r="E89">
        <v>168.33</v>
      </c>
      <c r="F89">
        <v>317.45999999999998</v>
      </c>
      <c r="G89">
        <v>0.5716</v>
      </c>
      <c r="H89">
        <v>0.98799999999999999</v>
      </c>
      <c r="I89">
        <v>1.5213000000000001</v>
      </c>
      <c r="J89">
        <v>1.1496</v>
      </c>
      <c r="K89">
        <v>1.0366</v>
      </c>
      <c r="L89">
        <v>0.9768</v>
      </c>
      <c r="M89" s="36">
        <f t="shared" si="1"/>
        <v>68.139091566423446</v>
      </c>
      <c r="N89" s="36">
        <f t="shared" si="1"/>
        <v>84.968684759916485</v>
      </c>
    </row>
    <row r="90" spans="1:14" x14ac:dyDescent="0.15">
      <c r="A90">
        <v>86</v>
      </c>
      <c r="B90">
        <v>913</v>
      </c>
      <c r="C90">
        <v>1.9699999999999999E-2</v>
      </c>
      <c r="D90">
        <v>1148</v>
      </c>
      <c r="E90">
        <v>169.85</v>
      </c>
      <c r="F90">
        <v>318.13</v>
      </c>
      <c r="G90">
        <v>0.57579999999999998</v>
      </c>
      <c r="H90">
        <v>0.98870000000000002</v>
      </c>
      <c r="I90">
        <v>1.5259</v>
      </c>
      <c r="J90">
        <v>1.1556</v>
      </c>
      <c r="K90">
        <v>1.0383</v>
      </c>
      <c r="L90">
        <v>0.97960000000000003</v>
      </c>
      <c r="M90" s="36">
        <f t="shared" si="1"/>
        <v>68.045088144701481</v>
      </c>
      <c r="N90" s="36">
        <f t="shared" si="1"/>
        <v>84.769816545517486</v>
      </c>
    </row>
    <row r="91" spans="1:14" x14ac:dyDescent="0.15">
      <c r="A91">
        <v>87</v>
      </c>
      <c r="B91">
        <v>936</v>
      </c>
      <c r="C91">
        <v>1.9210000000000001E-2</v>
      </c>
      <c r="D91">
        <v>1145</v>
      </c>
      <c r="E91">
        <v>171.37</v>
      </c>
      <c r="F91">
        <v>318.79000000000002</v>
      </c>
      <c r="G91">
        <v>0.57999999999999996</v>
      </c>
      <c r="H91">
        <v>0.98929999999999996</v>
      </c>
      <c r="I91">
        <v>1.5306</v>
      </c>
      <c r="J91">
        <v>1.1616</v>
      </c>
      <c r="K91">
        <v>1.04</v>
      </c>
      <c r="L91">
        <v>0.98240000000000005</v>
      </c>
      <c r="M91" s="36">
        <f t="shared" si="1"/>
        <v>67.947210244348625</v>
      </c>
      <c r="N91" s="36">
        <f t="shared" si="1"/>
        <v>84.573002754820948</v>
      </c>
    </row>
    <row r="92" spans="1:14" x14ac:dyDescent="0.15">
      <c r="A92">
        <v>88</v>
      </c>
      <c r="B92">
        <v>958</v>
      </c>
      <c r="C92">
        <v>1.873E-2</v>
      </c>
      <c r="D92">
        <v>1141</v>
      </c>
      <c r="E92">
        <v>172.9</v>
      </c>
      <c r="F92">
        <v>319.45</v>
      </c>
      <c r="G92">
        <v>0.58420000000000005</v>
      </c>
      <c r="H92">
        <v>0.99</v>
      </c>
      <c r="I92">
        <v>1.5355000000000001</v>
      </c>
      <c r="J92">
        <v>1.1677</v>
      </c>
      <c r="K92">
        <v>1.0417000000000001</v>
      </c>
      <c r="L92">
        <v>0.98519999999999996</v>
      </c>
      <c r="M92" s="36">
        <f t="shared" si="1"/>
        <v>67.841094106154344</v>
      </c>
      <c r="N92" s="36">
        <f t="shared" si="1"/>
        <v>84.370985698381432</v>
      </c>
    </row>
    <row r="93" spans="1:14" x14ac:dyDescent="0.15">
      <c r="A93">
        <v>89</v>
      </c>
      <c r="B93">
        <v>981</v>
      </c>
      <c r="C93">
        <v>1.8270000000000002E-2</v>
      </c>
      <c r="D93">
        <v>1137</v>
      </c>
      <c r="E93">
        <v>174.43</v>
      </c>
      <c r="F93">
        <v>320.11</v>
      </c>
      <c r="G93">
        <v>0.58840000000000003</v>
      </c>
      <c r="H93">
        <v>0.99060000000000004</v>
      </c>
      <c r="I93">
        <v>1.5404</v>
      </c>
      <c r="J93">
        <v>1.1739999999999999</v>
      </c>
      <c r="K93">
        <v>1.0434000000000001</v>
      </c>
      <c r="L93">
        <v>0.98799999999999999</v>
      </c>
      <c r="M93" s="36">
        <f t="shared" si="1"/>
        <v>67.735653077122834</v>
      </c>
      <c r="N93" s="36">
        <f t="shared" si="1"/>
        <v>84.156729131175467</v>
      </c>
    </row>
    <row r="94" spans="1:14" x14ac:dyDescent="0.15">
      <c r="A94">
        <v>90</v>
      </c>
      <c r="B94">
        <v>1004</v>
      </c>
      <c r="C94">
        <v>1.7819999999999999E-2</v>
      </c>
      <c r="D94">
        <v>1133</v>
      </c>
      <c r="E94">
        <v>175.97</v>
      </c>
      <c r="F94">
        <v>320.76</v>
      </c>
      <c r="G94">
        <v>0.59250000000000003</v>
      </c>
      <c r="H94">
        <v>0.99129999999999996</v>
      </c>
      <c r="I94">
        <v>1.5454000000000001</v>
      </c>
      <c r="J94">
        <v>1.1803999999999999</v>
      </c>
      <c r="K94">
        <v>1.0450999999999999</v>
      </c>
      <c r="L94">
        <v>0.9909</v>
      </c>
      <c r="M94" s="36">
        <f t="shared" si="1"/>
        <v>67.626504464863459</v>
      </c>
      <c r="N94" s="36">
        <f t="shared" si="1"/>
        <v>83.946119959335832</v>
      </c>
    </row>
    <row r="95" spans="1:14" x14ac:dyDescent="0.15">
      <c r="A95">
        <v>91</v>
      </c>
      <c r="B95">
        <v>1028</v>
      </c>
      <c r="C95">
        <v>1.738E-2</v>
      </c>
      <c r="D95">
        <v>1129</v>
      </c>
      <c r="E95">
        <v>177.51</v>
      </c>
      <c r="F95">
        <v>321.41000000000003</v>
      </c>
      <c r="G95">
        <v>0.59670000000000001</v>
      </c>
      <c r="H95">
        <v>0.9919</v>
      </c>
      <c r="I95">
        <v>1.5506</v>
      </c>
      <c r="J95">
        <v>1.1870000000000001</v>
      </c>
      <c r="K95">
        <v>1.0468999999999999</v>
      </c>
      <c r="L95">
        <v>0.99370000000000003</v>
      </c>
      <c r="M95" s="36">
        <f t="shared" si="1"/>
        <v>67.515800335354058</v>
      </c>
      <c r="N95" s="36">
        <f t="shared" si="1"/>
        <v>83.715248525695031</v>
      </c>
    </row>
    <row r="96" spans="1:14" x14ac:dyDescent="0.15">
      <c r="A96">
        <v>92</v>
      </c>
      <c r="B96">
        <v>1052</v>
      </c>
      <c r="C96">
        <v>1.695E-2</v>
      </c>
      <c r="D96">
        <v>1126</v>
      </c>
      <c r="E96">
        <v>179.05</v>
      </c>
      <c r="F96">
        <v>322.06</v>
      </c>
      <c r="G96">
        <v>0.60089999999999999</v>
      </c>
      <c r="H96">
        <v>0.99250000000000005</v>
      </c>
      <c r="I96">
        <v>1.5559000000000001</v>
      </c>
      <c r="J96">
        <v>1.1937</v>
      </c>
      <c r="K96">
        <v>1.0486</v>
      </c>
      <c r="L96">
        <v>0.99660000000000004</v>
      </c>
      <c r="M96" s="36">
        <f t="shared" si="1"/>
        <v>67.395076804421876</v>
      </c>
      <c r="N96" s="36">
        <f t="shared" si="1"/>
        <v>83.488313646644883</v>
      </c>
    </row>
    <row r="97" spans="1:14" x14ac:dyDescent="0.15">
      <c r="A97">
        <v>93</v>
      </c>
      <c r="B97">
        <v>1077</v>
      </c>
      <c r="C97">
        <v>1.653E-2</v>
      </c>
      <c r="D97">
        <v>1122</v>
      </c>
      <c r="E97">
        <v>180.6</v>
      </c>
      <c r="F97">
        <v>322.7</v>
      </c>
      <c r="G97">
        <v>0.60509999999999997</v>
      </c>
      <c r="H97">
        <v>0.99319999999999997</v>
      </c>
      <c r="I97">
        <v>1.5612999999999999</v>
      </c>
      <c r="J97">
        <v>1.2004999999999999</v>
      </c>
      <c r="K97">
        <v>1.0504</v>
      </c>
      <c r="L97">
        <v>0.99950000000000006</v>
      </c>
      <c r="M97" s="36">
        <f t="shared" si="1"/>
        <v>67.277268942547892</v>
      </c>
      <c r="N97" s="36">
        <f t="shared" si="1"/>
        <v>83.256976259891729</v>
      </c>
    </row>
    <row r="98" spans="1:14" x14ac:dyDescent="0.15">
      <c r="A98">
        <v>94</v>
      </c>
      <c r="B98">
        <v>1102</v>
      </c>
      <c r="C98">
        <v>1.6129999999999999E-2</v>
      </c>
      <c r="D98">
        <v>1118</v>
      </c>
      <c r="E98">
        <v>182.16</v>
      </c>
      <c r="F98">
        <v>323.33</v>
      </c>
      <c r="G98">
        <v>0.60929999999999995</v>
      </c>
      <c r="H98">
        <v>0.99380000000000002</v>
      </c>
      <c r="I98">
        <v>1.5668</v>
      </c>
      <c r="J98">
        <v>1.2075</v>
      </c>
      <c r="K98">
        <v>1.0521</v>
      </c>
      <c r="L98">
        <v>1.0024</v>
      </c>
      <c r="M98" s="36">
        <f t="shared" si="1"/>
        <v>67.149604288996684</v>
      </c>
      <c r="N98" s="36">
        <f t="shared" si="1"/>
        <v>83.014492753623188</v>
      </c>
    </row>
    <row r="99" spans="1:14" x14ac:dyDescent="0.15">
      <c r="A99">
        <v>95</v>
      </c>
      <c r="B99">
        <v>1127</v>
      </c>
      <c r="C99">
        <v>1.5730000000000001E-2</v>
      </c>
      <c r="D99">
        <v>1114</v>
      </c>
      <c r="E99">
        <v>183.72</v>
      </c>
      <c r="F99">
        <v>323.95999999999998</v>
      </c>
      <c r="G99">
        <v>0.61350000000000005</v>
      </c>
      <c r="H99">
        <v>0.99439999999999995</v>
      </c>
      <c r="I99">
        <v>1.5724</v>
      </c>
      <c r="J99">
        <v>1.2146999999999999</v>
      </c>
      <c r="K99">
        <v>1.0539000000000001</v>
      </c>
      <c r="L99">
        <v>1.0053000000000001</v>
      </c>
      <c r="M99" s="36">
        <f t="shared" si="1"/>
        <v>67.024930043246002</v>
      </c>
      <c r="N99" s="36">
        <f t="shared" si="1"/>
        <v>82.761175598913326</v>
      </c>
    </row>
    <row r="100" spans="1:14" x14ac:dyDescent="0.15">
      <c r="A100">
        <v>96</v>
      </c>
      <c r="B100">
        <v>1153</v>
      </c>
      <c r="C100">
        <v>1.5350000000000001E-2</v>
      </c>
      <c r="D100">
        <v>1110</v>
      </c>
      <c r="E100">
        <v>185.29</v>
      </c>
      <c r="F100">
        <v>324.58999999999997</v>
      </c>
      <c r="G100">
        <v>0.61760000000000004</v>
      </c>
      <c r="H100">
        <v>0.995</v>
      </c>
      <c r="I100">
        <v>1.5782</v>
      </c>
      <c r="J100">
        <v>1.2221</v>
      </c>
      <c r="K100">
        <v>1.0557000000000001</v>
      </c>
      <c r="L100">
        <v>1.0082</v>
      </c>
      <c r="M100" s="36">
        <f t="shared" si="1"/>
        <v>66.892662526929414</v>
      </c>
      <c r="N100" s="36">
        <f t="shared" si="1"/>
        <v>82.497340643155226</v>
      </c>
    </row>
    <row r="101" spans="1:14" x14ac:dyDescent="0.15">
      <c r="A101">
        <v>97</v>
      </c>
      <c r="B101">
        <v>1180</v>
      </c>
      <c r="C101">
        <v>1.498E-2</v>
      </c>
      <c r="D101">
        <v>1106</v>
      </c>
      <c r="E101">
        <v>186.86</v>
      </c>
      <c r="F101">
        <v>325.22000000000003</v>
      </c>
      <c r="G101">
        <v>0.62180000000000002</v>
      </c>
      <c r="H101">
        <v>0.99560000000000004</v>
      </c>
      <c r="I101">
        <v>1.5842000000000001</v>
      </c>
      <c r="J101">
        <v>1.2297</v>
      </c>
      <c r="K101">
        <v>1.0575000000000001</v>
      </c>
      <c r="L101">
        <v>1.0111000000000001</v>
      </c>
      <c r="M101" s="36">
        <f t="shared" si="1"/>
        <v>66.752935235450067</v>
      </c>
      <c r="N101" s="36">
        <f t="shared" si="1"/>
        <v>82.223306497519729</v>
      </c>
    </row>
    <row r="102" spans="1:14" x14ac:dyDescent="0.15">
      <c r="A102">
        <v>98</v>
      </c>
      <c r="B102">
        <v>1206</v>
      </c>
      <c r="C102">
        <v>1.461E-2</v>
      </c>
      <c r="D102">
        <v>1101</v>
      </c>
      <c r="E102">
        <v>188.43</v>
      </c>
      <c r="F102">
        <v>325.83</v>
      </c>
      <c r="G102">
        <v>0.626</v>
      </c>
      <c r="H102">
        <v>0.99619999999999997</v>
      </c>
      <c r="I102">
        <v>1.5903</v>
      </c>
      <c r="J102">
        <v>1.2375</v>
      </c>
      <c r="K102">
        <v>1.0592999999999999</v>
      </c>
      <c r="L102">
        <v>1.0141</v>
      </c>
      <c r="M102" s="36">
        <f t="shared" si="1"/>
        <v>66.61007357102433</v>
      </c>
      <c r="N102" s="36">
        <f t="shared" si="1"/>
        <v>81.947474747474743</v>
      </c>
    </row>
    <row r="103" spans="1:14" x14ac:dyDescent="0.15">
      <c r="A103">
        <v>99</v>
      </c>
      <c r="B103">
        <v>1234</v>
      </c>
      <c r="C103">
        <v>1.426E-2</v>
      </c>
      <c r="D103">
        <v>1097</v>
      </c>
      <c r="E103">
        <v>190.01</v>
      </c>
      <c r="F103">
        <v>326.45</v>
      </c>
      <c r="G103">
        <v>0.63019999999999998</v>
      </c>
      <c r="H103">
        <v>0.99680000000000002</v>
      </c>
      <c r="I103">
        <v>1.5965</v>
      </c>
      <c r="J103">
        <v>1.2455000000000001</v>
      </c>
      <c r="K103">
        <v>1.0610999999999999</v>
      </c>
      <c r="L103">
        <v>1.0169999999999999</v>
      </c>
      <c r="M103" s="36">
        <f t="shared" si="1"/>
        <v>66.464140306921379</v>
      </c>
      <c r="N103" s="36">
        <f t="shared" si="1"/>
        <v>81.653954235246871</v>
      </c>
    </row>
    <row r="104" spans="1:14" x14ac:dyDescent="0.15">
      <c r="A104">
        <v>100</v>
      </c>
      <c r="B104">
        <v>1261</v>
      </c>
      <c r="C104">
        <v>1.391E-2</v>
      </c>
      <c r="D104">
        <v>1093</v>
      </c>
      <c r="E104">
        <v>191.6</v>
      </c>
      <c r="F104">
        <v>327.06</v>
      </c>
      <c r="G104">
        <v>0.63439999999999996</v>
      </c>
      <c r="H104">
        <v>0.99739999999999995</v>
      </c>
      <c r="I104">
        <v>1.603</v>
      </c>
      <c r="J104">
        <v>1.2537</v>
      </c>
      <c r="K104">
        <v>1.0629</v>
      </c>
      <c r="L104">
        <v>1.02</v>
      </c>
      <c r="M104" s="36">
        <f t="shared" si="1"/>
        <v>66.30692451653151</v>
      </c>
      <c r="N104" s="36">
        <f t="shared" si="1"/>
        <v>81.359176836563776</v>
      </c>
    </row>
  </sheetData>
  <mergeCells count="8">
    <mergeCell ref="E1:F2"/>
    <mergeCell ref="G1:H2"/>
    <mergeCell ref="I1:J1"/>
    <mergeCell ref="K1:L1"/>
    <mergeCell ref="M1:N1"/>
    <mergeCell ref="I2:J2"/>
    <mergeCell ref="K2:L2"/>
    <mergeCell ref="M2:N2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投資回収</vt:lpstr>
      <vt:lpstr>蓄熱シュミレーション</vt:lpstr>
      <vt:lpstr>HFC245fa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 Higashi</dc:creator>
  <cp:lastModifiedBy>Microsoft Office ユーザー</cp:lastModifiedBy>
  <cp:lastPrinted>2018-05-27T10:03:16Z</cp:lastPrinted>
  <dcterms:created xsi:type="dcterms:W3CDTF">2013-05-03T08:15:49Z</dcterms:created>
  <dcterms:modified xsi:type="dcterms:W3CDTF">2018-10-06T07:23:59Z</dcterms:modified>
</cp:coreProperties>
</file>